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Contabilidad y Finanzas\CONTABILIDAD-FINANZAS\MERCEDES 2024\CIERRE FISCAL 2024\"/>
    </mc:Choice>
  </mc:AlternateContent>
  <bookViews>
    <workbookView xWindow="-120" yWindow="-120" windowWidth="20730" windowHeight="11160" firstSheet="5" activeTab="5"/>
  </bookViews>
  <sheets>
    <sheet name="Rendimiento" sheetId="16" state="hidden" r:id="rId1"/>
    <sheet name="Flujo" sheetId="19" state="hidden" r:id="rId2"/>
    <sheet name="Situacion" sheetId="18" state="hidden" r:id="rId3"/>
    <sheet name="Cambio de Patrimonio" sheetId="21" state="hidden" r:id="rId4"/>
    <sheet name="Estado Comparativo" sheetId="22" state="hidden" r:id="rId5"/>
    <sheet name="Notas Explicativas" sheetId="20" r:id="rId6"/>
    <sheet name="Hoja1" sheetId="23" r:id="rId7"/>
  </sheets>
  <externalReferences>
    <externalReference r:id="rId8"/>
  </externalReferenc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9" i="20" l="1"/>
  <c r="G130" i="20" l="1"/>
  <c r="G127" i="20"/>
  <c r="F183" i="20" l="1"/>
  <c r="F167" i="20" l="1"/>
  <c r="E316" i="20" l="1"/>
  <c r="E353" i="20"/>
  <c r="E324" i="20"/>
  <c r="E322" i="20"/>
  <c r="E321" i="20"/>
  <c r="E320" i="20"/>
  <c r="E319" i="20"/>
  <c r="E341" i="20" l="1"/>
  <c r="E343" i="20" s="1"/>
  <c r="E167" i="20"/>
  <c r="F162" i="20"/>
  <c r="F168" i="20" s="1"/>
  <c r="E162" i="20"/>
  <c r="E150" i="20"/>
  <c r="F150" i="20"/>
  <c r="D150" i="20"/>
  <c r="G142" i="20" l="1"/>
  <c r="G141" i="20"/>
  <c r="G148" i="20"/>
  <c r="G149" i="20"/>
  <c r="G147" i="20"/>
  <c r="G140" i="20"/>
  <c r="F143" i="20"/>
  <c r="F151" i="20" s="1"/>
  <c r="E143" i="20"/>
  <c r="E151" i="20" s="1"/>
  <c r="D143" i="20"/>
  <c r="D151" i="20" s="1"/>
  <c r="C124" i="20"/>
  <c r="C143" i="20"/>
  <c r="C151" i="20" s="1"/>
  <c r="E303" i="20"/>
  <c r="G150" i="20" l="1"/>
  <c r="E281" i="20"/>
  <c r="E284" i="20"/>
  <c r="E275" i="20"/>
  <c r="E274" i="20"/>
  <c r="E262" i="20"/>
  <c r="E261" i="20"/>
  <c r="E254" i="20"/>
  <c r="E225" i="20"/>
  <c r="E191" i="20"/>
  <c r="E183" i="20"/>
  <c r="E290" i="20" l="1"/>
  <c r="E118" i="20" l="1"/>
  <c r="E60" i="20" l="1"/>
  <c r="E107" i="20"/>
  <c r="E109" i="20" s="1"/>
  <c r="E73" i="20" l="1"/>
  <c r="E80" i="20"/>
  <c r="E69" i="20"/>
  <c r="F91" i="20"/>
  <c r="E91" i="20" l="1"/>
  <c r="E110" i="20" s="1"/>
  <c r="E220" i="20" l="1"/>
  <c r="E226" i="20" s="1"/>
  <c r="G139" i="20" l="1"/>
  <c r="G143" i="20" s="1"/>
  <c r="G151" i="20" s="1"/>
  <c r="E246" i="20"/>
  <c r="F353" i="20" l="1"/>
  <c r="F338" i="20"/>
  <c r="F336" i="20"/>
  <c r="F326" i="20"/>
  <c r="F323" i="20"/>
  <c r="F318" i="20"/>
  <c r="F315" i="20"/>
  <c r="F303" i="20"/>
  <c r="F280" i="20"/>
  <c r="F274" i="20"/>
  <c r="F272" i="20"/>
  <c r="F268" i="20"/>
  <c r="F265" i="20"/>
  <c r="F264" i="20"/>
  <c r="F260" i="20"/>
  <c r="F254" i="20"/>
  <c r="F246" i="20"/>
  <c r="F225" i="20"/>
  <c r="F220" i="20"/>
  <c r="F209" i="20"/>
  <c r="F191" i="20"/>
  <c r="F130" i="20"/>
  <c r="F131" i="20" s="1"/>
  <c r="E130" i="20"/>
  <c r="D128" i="20"/>
  <c r="E124" i="20"/>
  <c r="G123" i="20"/>
  <c r="F118" i="20"/>
  <c r="F109" i="20"/>
  <c r="F58" i="20"/>
  <c r="F60" i="20" s="1"/>
  <c r="D130" i="20" l="1"/>
  <c r="D131" i="20" s="1"/>
  <c r="G128" i="20"/>
  <c r="F341" i="20"/>
  <c r="F343" i="20" s="1"/>
  <c r="F290" i="20"/>
  <c r="F226" i="20"/>
  <c r="E131" i="20"/>
  <c r="F110" i="20"/>
  <c r="G124" i="20"/>
  <c r="G131" i="20" s="1"/>
  <c r="C131" i="20"/>
  <c r="D16" i="19" l="1"/>
  <c r="C30" i="19" l="1"/>
  <c r="C65" i="19" l="1"/>
  <c r="F20" i="21"/>
  <c r="C29" i="18" l="1"/>
  <c r="C22" i="18"/>
  <c r="C17" i="18"/>
  <c r="C14" i="18"/>
  <c r="C15" i="18" l="1"/>
  <c r="G17" i="22"/>
  <c r="D21" i="22"/>
  <c r="F21" i="22" s="1"/>
  <c r="E17" i="22"/>
  <c r="C29" i="19"/>
  <c r="C22" i="16" l="1"/>
  <c r="G33" i="22"/>
  <c r="F33" i="22"/>
  <c r="G31" i="22"/>
  <c r="F31" i="22"/>
  <c r="G30" i="22"/>
  <c r="F30" i="22"/>
  <c r="G29" i="22"/>
  <c r="F29" i="22"/>
  <c r="G28" i="22"/>
  <c r="F28" i="22"/>
  <c r="E27" i="22"/>
  <c r="E37" i="22" s="1"/>
  <c r="D27" i="22"/>
  <c r="D37" i="22" s="1"/>
  <c r="F17" i="22"/>
  <c r="G27" i="22" l="1"/>
  <c r="G37" i="22" s="1"/>
  <c r="C24" i="16"/>
  <c r="F27" i="22"/>
  <c r="F37" i="22" s="1"/>
  <c r="D26" i="21"/>
  <c r="G24" i="21"/>
  <c r="G22" i="21"/>
  <c r="E20" i="21"/>
  <c r="D20" i="21"/>
  <c r="C20" i="21"/>
  <c r="C26" i="21" s="1"/>
  <c r="G17" i="21"/>
  <c r="G16" i="21"/>
  <c r="G15" i="21"/>
  <c r="C25" i="16"/>
  <c r="G20" i="21" l="1"/>
  <c r="C363" i="19" l="1"/>
  <c r="D48" i="19"/>
  <c r="C48" i="19"/>
  <c r="D31" i="19"/>
  <c r="D64" i="19" s="1"/>
  <c r="C31" i="19"/>
  <c r="C64" i="19" s="1"/>
  <c r="C66" i="19" s="1"/>
  <c r="D66" i="19" l="1"/>
  <c r="D14" i="18" s="1"/>
  <c r="D38" i="18"/>
  <c r="D31" i="18"/>
  <c r="D32" i="18" s="1"/>
  <c r="C31" i="18"/>
  <c r="D23" i="18"/>
  <c r="C23" i="18"/>
  <c r="D18" i="18"/>
  <c r="C18" i="18"/>
  <c r="C32" i="18" l="1"/>
  <c r="D24" i="18"/>
  <c r="D39" i="18"/>
  <c r="C24" i="18"/>
  <c r="D24" i="16" l="1"/>
  <c r="C26" i="16" l="1"/>
  <c r="C16" i="16"/>
  <c r="C30" i="16" l="1"/>
  <c r="C36" i="18" s="1"/>
  <c r="F25" i="21" s="1"/>
  <c r="D26" i="16"/>
  <c r="D16" i="16"/>
  <c r="F26" i="21" l="1"/>
  <c r="G25" i="21"/>
  <c r="G26" i="21" s="1"/>
  <c r="C38" i="18"/>
  <c r="C39" i="18" s="1"/>
  <c r="D30" i="16"/>
  <c r="G23" i="21" l="1"/>
  <c r="E23" i="21"/>
  <c r="E26" i="21"/>
</calcChain>
</file>

<file path=xl/sharedStrings.xml><?xml version="1.0" encoding="utf-8"?>
<sst xmlns="http://schemas.openxmlformats.org/spreadsheetml/2006/main" count="598" uniqueCount="464">
  <si>
    <t>PRESIDENCIA DE LA REPUBLICA DOMINICANA</t>
  </si>
  <si>
    <t>CONSEJO NACIONAL DE DISCAPACIDAD</t>
  </si>
  <si>
    <t xml:space="preserve"> </t>
  </si>
  <si>
    <t>INGRESOS CORRIENTES</t>
  </si>
  <si>
    <t>Contadora</t>
  </si>
  <si>
    <t>ESTADO DE RENDIMIENTO FINANCIERO</t>
  </si>
  <si>
    <t xml:space="preserve">TRANSFERENCIAS CORRIENTES RECIBIDAS: </t>
  </si>
  <si>
    <t>GASTOS CORRIENTES</t>
  </si>
  <si>
    <t>TOTAL DE GASTOS</t>
  </si>
  <si>
    <t>RESULTADO  DEL PERIODO (ahorro / desahorro)</t>
  </si>
  <si>
    <t>Mercedes Yolanda Pujols</t>
  </si>
  <si>
    <t>SUELDOS, SALARIOS Y BENEFICIOS A EMPLEADOS (Nota 19)</t>
  </si>
  <si>
    <t>SUBVENCIONES Y OTROS PAGOS POR TRANSFERENCIAS (20)</t>
  </si>
  <si>
    <t>SUMINISTROS  Y MATERIAL  PARA  CONSUMO (Nota 21)</t>
  </si>
  <si>
    <t>GASTOS DE DEPRECIACION Y AMORTIZACION (Nota 22)</t>
  </si>
  <si>
    <t>OTROS GASTOS (Nota 23)</t>
  </si>
  <si>
    <t>OTROS INGRESOS (Nota 18)</t>
  </si>
  <si>
    <t>GASTOS FINANCIEROS (Nota 24)</t>
  </si>
  <si>
    <t xml:space="preserve"> PERDIDA POR DETERIORO (Nota 25)</t>
  </si>
  <si>
    <t>TRANSFERENCIAS Y DONACIONES  (Nota 17)</t>
  </si>
  <si>
    <t>(VALORES EN RD$)</t>
  </si>
  <si>
    <t>DEL EJERCICIO TERMINADO AL 31 DE DICIEMBRE 2023 Y 2022</t>
  </si>
  <si>
    <t xml:space="preserve">          Directora Ejecutiva</t>
  </si>
  <si>
    <t xml:space="preserve">                Contadora</t>
  </si>
  <si>
    <t>ESTADO DE COMPARACION DE LOS IMPORTES PRESUPUESTADOS Y REALIZADOS</t>
  </si>
  <si>
    <t>ESTADO DE SITUACION FINANCIERA</t>
  </si>
  <si>
    <t>DEL EJERCICIO TERMINADO AL 31 DE DICIEMBRE  DEL 2023 Y 2022</t>
  </si>
  <si>
    <t>ACTIVOS:</t>
  </si>
  <si>
    <t>ACTIVOS CORRIENTES</t>
  </si>
  <si>
    <t>EFECTIVO Y EQUIVALENTE DE EFECTIVO (Nota 7)</t>
  </si>
  <si>
    <t>INVENTARIOS (Nota 8)</t>
  </si>
  <si>
    <t>CUENTAS POR COBRAR  (Nota 9)</t>
  </si>
  <si>
    <t>PAGOS  ANTICIPADOS  (Nota 10)</t>
  </si>
  <si>
    <t>TOTAL ACTIVOS CORRIENTES</t>
  </si>
  <si>
    <t>ACTIVOS NO CORRIENTES</t>
  </si>
  <si>
    <t>PROPIEDAD PLANTA Y EQUIPO  NETO  (Nota 11 )</t>
  </si>
  <si>
    <t>ACTIVOS INTANGIBLES (Nota 12)</t>
  </si>
  <si>
    <t>TOTAL ACTIVOS NO CORRIENTES</t>
  </si>
  <si>
    <t xml:space="preserve">TOTAL ACTIVOS  </t>
  </si>
  <si>
    <t>PASIVOS:</t>
  </si>
  <si>
    <t>PASIVOS  CORRIENTES</t>
  </si>
  <si>
    <t>CUENTAS POR PAGAR CORTO PLAZO (Nota 13)</t>
  </si>
  <si>
    <t>RETENCIONES POR PAGAR (Nota 14)</t>
  </si>
  <si>
    <t>OTROS PASIVOS CORRIENTES   (Nota 15 )</t>
  </si>
  <si>
    <t>TOTAL PASIVOS CORRIENTES</t>
  </si>
  <si>
    <t xml:space="preserve">TOTAL PASIVOS </t>
  </si>
  <si>
    <t>PATRIMONIO:</t>
  </si>
  <si>
    <t>CAPITAL INSTITUCIONAL (Nota 16)</t>
  </si>
  <si>
    <t>RESULTADO  (+ahorro/ -desahorro) (Nota 16)</t>
  </si>
  <si>
    <t>RESULTADOS ACUMULADOS (Nota 16)</t>
  </si>
  <si>
    <t>TOTAL PATRIMONIO</t>
  </si>
  <si>
    <t>TOTAL PASIVOS Y PATRIMONIO</t>
  </si>
  <si>
    <t xml:space="preserve">   </t>
  </si>
  <si>
    <t>ESTADO DE FLUJO DE EFECTIVO</t>
  </si>
  <si>
    <t>FLUJO DE EFECTIVO PROCEDENTES DE ACTIVIDADES OPERATIVAS</t>
  </si>
  <si>
    <t>Cobros impuestos</t>
  </si>
  <si>
    <t>Contribuciones de la seguridad social</t>
  </si>
  <si>
    <t>Cobros por venta de bienes y servicios y arrendamientos</t>
  </si>
  <si>
    <t>COBROS DE  SUBVENCIONES, TRANSFERENCIAS Y OTRAS ASIGNACIONES</t>
  </si>
  <si>
    <t>Cobros de seguros por primas, reclamos y otros</t>
  </si>
  <si>
    <t>Cobros por contratos mantenidos para negocios o intercambio</t>
  </si>
  <si>
    <t xml:space="preserve"> Cobros de intereses financieros</t>
  </si>
  <si>
    <t>Otros cobros</t>
  </si>
  <si>
    <t xml:space="preserve">PAGOS A OTRAS ENTIDADES P/FINANCIAR SUS OPERACIONES </t>
  </si>
  <si>
    <t>PAGO A LOS TRABAJADORES O EN BENEFICIO DE ELLOS</t>
  </si>
  <si>
    <t>PAGOS POR CONTRIBUCIONES A LA SEGURIDAD SOCIAL</t>
  </si>
  <si>
    <t>PAGOS DE PENSIONES Y JUBILACIONES</t>
  </si>
  <si>
    <t>PAGOS A PROVEEDORES</t>
  </si>
  <si>
    <t>Pagos por contratos mantenidos para negocios o intercambio</t>
  </si>
  <si>
    <t xml:space="preserve"> Pagos de intereses</t>
  </si>
  <si>
    <t>PAGO DE INTERESES</t>
  </si>
  <si>
    <t>OTROS PAGOS</t>
  </si>
  <si>
    <t>FLUJO DE EFECTIVO NETOS DE LAS ACTIVIDADES DE OPERACIÓN</t>
  </si>
  <si>
    <t>FLUJO DE EFECTIVO DE LAS ACTIVIDADES DE INVERSION</t>
  </si>
  <si>
    <t>Cobros por venta de propiedad, planta y equipo</t>
  </si>
  <si>
    <t>Cobros por venta de intangibles y otros activos de largo plazo</t>
  </si>
  <si>
    <t xml:space="preserve">Cobros por títulos patrimoniales o de deuda y participación en asociaciones </t>
  </si>
  <si>
    <t>Cobros por reembolsos de préstamos o anticipos hechos a terceros</t>
  </si>
  <si>
    <t xml:space="preserve">Cobros por conceptos de contratos a futuro, a plazo, opciones o permuta </t>
  </si>
  <si>
    <t>PAGO POR ADQUISICION DE PROPIEDAD  PLANTA Y EQUIPOS</t>
  </si>
  <si>
    <t>Pagos por adquisición de títulos patrimoniales o de deuda y participación en asociaciones</t>
  </si>
  <si>
    <t xml:space="preserve">Pagos por otorgamiento de préstamos o anticipos hechos a terceros </t>
  </si>
  <si>
    <t xml:space="preserve">Pagos por conceptos de contratos a futuro, a plazo, opciones o permuta </t>
  </si>
  <si>
    <t>Pagos por costos de construcciones y desarrollos en proceso</t>
  </si>
  <si>
    <t>Otros pagos</t>
  </si>
  <si>
    <t>FLUJO DE EFECTIVO NETOS POR LAS ACTIVIDADES DE INVERSION</t>
  </si>
  <si>
    <t>Flujos de efectivo de las actividades de financiación</t>
  </si>
  <si>
    <t>Cobro por emisión de títulos de deudas, bonos</t>
  </si>
  <si>
    <t>Cobro por préstamos, pagarés, hipotecas</t>
  </si>
  <si>
    <t>Cobro por aporte de accionista</t>
  </si>
  <si>
    <t xml:space="preserve">Cobro de los arrendatarios por contratos de arrendamientos financieros </t>
  </si>
  <si>
    <t>Pago reembolso en efectivo de los montos recibidos en emisión de títulos de deudas, bonos</t>
  </si>
  <si>
    <t>Pago reembolso en efectivo de los montos recibidos en préstamos, pagarés, hipotecas</t>
  </si>
  <si>
    <t xml:space="preserve">Pago reembolso de efectivo recibió por aporte de accionista </t>
  </si>
  <si>
    <t>Pago por distribución/dividendos al gobierno</t>
  </si>
  <si>
    <t>Pago de los arrendatarios por contratos de arrendamientos financieros</t>
  </si>
  <si>
    <t xml:space="preserve"> Otros pagos</t>
  </si>
  <si>
    <t>Flujos de efectivo netos por las actividades de financiación</t>
  </si>
  <si>
    <t>INCREMENTO/(DISMINUCION) NETA EN EL EFECTIVO Y EQUIVALENTES DE EFECTIVO</t>
  </si>
  <si>
    <t>EFECTIVO Y EQUIVALENTES DE EFECTIVO AL PRINCIPIO DEL PERIODO</t>
  </si>
  <si>
    <t>EFECTIVO Y EQUIVALENTES AL EFECTIVO AL FINAL DEL PERIODO</t>
  </si>
  <si>
    <t xml:space="preserve">              Directora Ejecutiva</t>
  </si>
  <si>
    <t xml:space="preserve">      Mercedes Yolanda Pujols</t>
  </si>
  <si>
    <t xml:space="preserve">               Contadora</t>
  </si>
  <si>
    <t>NOTAS EXPLICATIVAS DE LOS ESTADOS FINANCIEROS</t>
  </si>
  <si>
    <t>NOMBRE</t>
  </si>
  <si>
    <t xml:space="preserve"> CARGO </t>
  </si>
  <si>
    <t xml:space="preserve">Víctor Valdez                                </t>
  </si>
  <si>
    <t xml:space="preserve">Lissette Batista                             </t>
  </si>
  <si>
    <t>Samila Fernández</t>
  </si>
  <si>
    <t>3.-MONEDA FUNCIONAL Y DE PRESENTACION</t>
  </si>
  <si>
    <t>Los estados Financieros están presentados en RD$ pesos dominicanos, que es la moneda Nacional y funcional Del Conadis.</t>
  </si>
  <si>
    <t>4.- USO ESTIMADO DE JUICIO</t>
  </si>
  <si>
    <t>5.- BASE DE MEDICION</t>
  </si>
  <si>
    <t>6.-RESUMEN DE POLITICAS CONTABLE</t>
  </si>
  <si>
    <t>Aquí se detalla todo lo relacionado con las principales políticas contables significativas, aplicadas consistentemente a los períodos sobre los que se informa.</t>
  </si>
  <si>
    <t>CUENTAS POR PAGAR Y COBRAR</t>
  </si>
  <si>
    <t>Los pasivos son reconocidos cuando se ha recibido el bien o servicio que los genera, independiente del momento en el que se realiza el pago.</t>
  </si>
  <si>
    <t>MOBILIARIOS Y EQUIPOS</t>
  </si>
  <si>
    <t>Las partidas de mobiliarios y equipos son medidas al costo de adquisición menos la depreciación acumulada , perdida y deterioro.</t>
  </si>
  <si>
    <t>La depreciación es reconocida en resultados con base en el método de línea recta sobre las vidas útiles estimadas de cada parte de una partida de mobiliarios y equipos, puesto que estas reflejan con mayor exactitud el patrón de consumo esperado de los beneficios económicos futuros relacionados con el activo.</t>
  </si>
  <si>
    <t xml:space="preserve">Descripción                                                                              </t>
  </si>
  <si>
    <t xml:space="preserve">Cuenta Fondo Reponible Inst.# 3140000873 Banreservas                                             </t>
  </si>
  <si>
    <t xml:space="preserve">Cuenta Donaciones  9600438806    Banreservas                                             </t>
  </si>
  <si>
    <t xml:space="preserve">Cuenta Receptora # 0100193000B Banreservas                                             </t>
  </si>
  <si>
    <t>Total</t>
  </si>
  <si>
    <t>Nota #  8 INVENTARIOS</t>
  </si>
  <si>
    <t>INVENTARIO DE BIENES DE CONSUMO</t>
  </si>
  <si>
    <t>Alimentos y Bebidas para Humanos</t>
  </si>
  <si>
    <t>Maderas, Corchos y sus Manufacturas</t>
  </si>
  <si>
    <t>Acabados Textiles</t>
  </si>
  <si>
    <t>Papel de Escritorio</t>
  </si>
  <si>
    <t>Productos de Papel y Cartón</t>
  </si>
  <si>
    <t>Accesorios de Metal</t>
  </si>
  <si>
    <t xml:space="preserve">                        -     </t>
  </si>
  <si>
    <t>Productos de Artes Graficas</t>
  </si>
  <si>
    <t>Artículos de Plásticos</t>
  </si>
  <si>
    <t>Productos  Medicinals para Humanos</t>
  </si>
  <si>
    <t>Productos Químicos de Uso Personal</t>
  </si>
  <si>
    <t>Insecticidas Fumigantes y Otros</t>
  </si>
  <si>
    <t>Pinturas, Lacas y Barnices</t>
  </si>
  <si>
    <t>Otros Productos Químicos y Conexos</t>
  </si>
  <si>
    <t>Materiales de Limpieza</t>
  </si>
  <si>
    <t>Útiles de Escritorios, Oficina e Informática</t>
  </si>
  <si>
    <t>Útiles Menores, Médicos Quirúrgico</t>
  </si>
  <si>
    <t>Útiles de Cocina  y Comedor</t>
  </si>
  <si>
    <t>Utiles Diversos</t>
  </si>
  <si>
    <t>Productos Eléctricos y Afines</t>
  </si>
  <si>
    <t>Otros Repuestos y Accesorios Menores</t>
  </si>
  <si>
    <t>Productos y Útiles Varios</t>
  </si>
  <si>
    <t>Total de Bienes de Consumo</t>
  </si>
  <si>
    <t>INVENTARIO DISPOSITIVOS  PARA CESION</t>
  </si>
  <si>
    <t>Andadores Estándar Niños</t>
  </si>
  <si>
    <t>Andadores  Adultos</t>
  </si>
  <si>
    <t>Andadores con Ruedas</t>
  </si>
  <si>
    <t>Bastones Blancos No. 44</t>
  </si>
  <si>
    <t>Bastones Blancos No. 46</t>
  </si>
  <si>
    <t>Colchones Anti-Escara</t>
  </si>
  <si>
    <t>Total Inventario Dispositivos de Apoyo Para Cesión</t>
  </si>
  <si>
    <t>TOTAL INVENTARIOS</t>
  </si>
  <si>
    <t>Terreno</t>
  </si>
  <si>
    <t>Edificaciones y Componentes</t>
  </si>
  <si>
    <t xml:space="preserve"> Mobiliarios y Equipos De Oficina </t>
  </si>
  <si>
    <t xml:space="preserve"> Equipos de Transporte </t>
  </si>
  <si>
    <t>Costos:</t>
  </si>
  <si>
    <t>Saldo al Inicio</t>
  </si>
  <si>
    <t>Adiciones</t>
  </si>
  <si>
    <t>Saldo Final del Periodo</t>
  </si>
  <si>
    <t>Saldo Inicial</t>
  </si>
  <si>
    <t>Cargos del Periodo</t>
  </si>
  <si>
    <t>Depreciacion:</t>
  </si>
  <si>
    <t>Saldo al final del periodo</t>
  </si>
  <si>
    <t>Adiciones del periodo</t>
  </si>
  <si>
    <t>Amortizacion del Periodo</t>
  </si>
  <si>
    <t xml:space="preserve">Descripción                                                                                   </t>
  </si>
  <si>
    <t>PROVEEDOR</t>
  </si>
  <si>
    <t>NCF</t>
  </si>
  <si>
    <t xml:space="preserve"> RNC </t>
  </si>
  <si>
    <t>B1500002491</t>
  </si>
  <si>
    <t xml:space="preserve"> 101-89885-2</t>
  </si>
  <si>
    <t>B1500002758</t>
  </si>
  <si>
    <t>Retenciones  Impuesto IT-1</t>
  </si>
  <si>
    <t>Retenciones Impuesto IR-17</t>
  </si>
  <si>
    <t>a deuda Publica .</t>
  </si>
  <si>
    <t>WEPSY</t>
  </si>
  <si>
    <t>B1500000039</t>
  </si>
  <si>
    <t>CAPITAL</t>
  </si>
  <si>
    <t xml:space="preserve">Descripción                                                                                  </t>
  </si>
  <si>
    <t>Resultado del Periodo</t>
  </si>
  <si>
    <t>Resultados Acumulados</t>
  </si>
  <si>
    <t>INGRESOS</t>
  </si>
  <si>
    <t xml:space="preserve">Transferencias Corrientes  Recibidas del   Gabinete  </t>
  </si>
  <si>
    <t>de Politica Social de la Presidencia</t>
  </si>
  <si>
    <t>OTROS INGRESOS</t>
  </si>
  <si>
    <t xml:space="preserve">Total </t>
  </si>
  <si>
    <t>Total Ingresos</t>
  </si>
  <si>
    <t xml:space="preserve">Descripción                                                                                       </t>
  </si>
  <si>
    <t xml:space="preserve">Sueldos  y Salarios                                                                                                  </t>
  </si>
  <si>
    <t>Aporte al Seguro Familiar de Salud</t>
  </si>
  <si>
    <t>Contribuciones al Seguro de Pensiones</t>
  </si>
  <si>
    <t>Contribuciones al Seguro de Riesgo Laboral</t>
  </si>
  <si>
    <t>Sueldo Personal Temporal Contratados</t>
  </si>
  <si>
    <t xml:space="preserve">Compensación   Servicios de  Seguridad                                                                                    </t>
  </si>
  <si>
    <t>Sueldo Personal Contratado</t>
  </si>
  <si>
    <t>Incentivo por Rendimiento Individual</t>
  </si>
  <si>
    <t>Sueldo Personal Temporal En Cargos de Carrera</t>
  </si>
  <si>
    <t>Compensación Extraordinaria Anual</t>
  </si>
  <si>
    <t>Bono Por Desempeño</t>
  </si>
  <si>
    <t>Compensación por Cumplimiento Indicadores</t>
  </si>
  <si>
    <t xml:space="preserve">Regalía Pascual                                                                                       </t>
  </si>
  <si>
    <t xml:space="preserve">Vacaciones                                                                                               </t>
  </si>
  <si>
    <t>TOTAL</t>
  </si>
  <si>
    <t>Pago por transferencias Corrientes a la Asociaciones Sin Fines de Lucro</t>
  </si>
  <si>
    <t>Alimentos y Bebidas para Personas</t>
  </si>
  <si>
    <t>Textiles y Vestuarios</t>
  </si>
  <si>
    <t>Producto de Papel, Cartón e Impresos</t>
  </si>
  <si>
    <t>Utiles de Escritorios, Oficina e Informatica</t>
  </si>
  <si>
    <t>Productos Medicinales para uso Humano</t>
  </si>
  <si>
    <t>Llantas y Neumaticos</t>
  </si>
  <si>
    <t>Productos de Cuero, Caucho y Plástico</t>
  </si>
  <si>
    <t>Productos de Cal, Cemento, Yeso y Arcilla</t>
  </si>
  <si>
    <t>Productos de Vidrio, Loza y Porcelana</t>
  </si>
  <si>
    <t>Productos Minerales Metálicos y No Metálicos</t>
  </si>
  <si>
    <t>Incectisidas, Fumingantes y Otros</t>
  </si>
  <si>
    <t>Herramientas Menores</t>
  </si>
  <si>
    <t>Combustibles y Lubricantes</t>
  </si>
  <si>
    <t>Gas GLP</t>
  </si>
  <si>
    <t>Aceites y Grasa</t>
  </si>
  <si>
    <t>Productos Químicos y Conexos</t>
  </si>
  <si>
    <t>Pinturas, Lacas Barinices y Diluyentes</t>
  </si>
  <si>
    <t>Productos  y Útiles Varios</t>
  </si>
  <si>
    <t>Utiles de Cocina y Comedor</t>
  </si>
  <si>
    <t>Accesorios</t>
  </si>
  <si>
    <t>Repuestos</t>
  </si>
  <si>
    <t>Productos Electricos y Afines</t>
  </si>
  <si>
    <t>Depreciación Equipos de Transporte</t>
  </si>
  <si>
    <t>Depreciación Mobiliarios y Equipos</t>
  </si>
  <si>
    <t>Depreciación Edificaciones</t>
  </si>
  <si>
    <t>Amortización Intangibles y Licencias</t>
  </si>
  <si>
    <t xml:space="preserve">Este monto está compuesto de  Pagos por Contratación  Bienes y Servicios más la Partida de las  Donaciones </t>
  </si>
  <si>
    <t>Servicios Básicos</t>
  </si>
  <si>
    <t>Servicios de comunicación</t>
  </si>
  <si>
    <t xml:space="preserve">         -     </t>
  </si>
  <si>
    <t>Publicidad y Impresión y Encuadernación</t>
  </si>
  <si>
    <t>Viáticos dentro  del País</t>
  </si>
  <si>
    <t>Viáticos Fuera del País</t>
  </si>
  <si>
    <t>Transporte y almacenaje</t>
  </si>
  <si>
    <t xml:space="preserve">Alquileres y Rentas </t>
  </si>
  <si>
    <t>Licencias de Informaticas</t>
  </si>
  <si>
    <t>Peaje</t>
  </si>
  <si>
    <t>Seguros</t>
  </si>
  <si>
    <t>Reparacion Menores de Edificaciones</t>
  </si>
  <si>
    <t>Servicios  Especiales de Mantenimiento y Reparacion</t>
  </si>
  <si>
    <t>Reparacion y Mantenimiento Equipos de Tramsporte</t>
  </si>
  <si>
    <t>Fumigacion</t>
  </si>
  <si>
    <t>Lavanderia</t>
  </si>
  <si>
    <t>Otros Servicios No Personales</t>
  </si>
  <si>
    <t>Eventos Generales</t>
  </si>
  <si>
    <t xml:space="preserve">Servicios de Ingenieria </t>
  </si>
  <si>
    <t>Servicios Juridicos</t>
  </si>
  <si>
    <t>Servicios de Capacitacion</t>
  </si>
  <si>
    <t>Servicios de Informatica y Sistema computarizados</t>
  </si>
  <si>
    <t>Servicios Técnicos y Profesionales</t>
  </si>
  <si>
    <t>Otras Contratación de Servicios</t>
  </si>
  <si>
    <t>Servicios de alimentacion</t>
  </si>
  <si>
    <t>Servicios de Catering</t>
  </si>
  <si>
    <t>Gastos  en Cesion  de Dispositivos de Apoyo</t>
  </si>
  <si>
    <t>Comisiones Bancarias</t>
  </si>
  <si>
    <t xml:space="preserve">Este monto corresponde a los cargos bancarios realizados por el Banco  de Reservas </t>
  </si>
  <si>
    <t xml:space="preserve"> que tenemos  correspondiente a Donaciones para diferentes proyectos.</t>
  </si>
  <si>
    <t>Descripcion</t>
  </si>
  <si>
    <t>Banco de Reservas Cta Fondo Reponible Institucional 3140000873</t>
  </si>
  <si>
    <t xml:space="preserve">               Directora Ejecutiva</t>
  </si>
  <si>
    <t xml:space="preserve">        Mercedes Yolanda Pujols</t>
  </si>
  <si>
    <t xml:space="preserve">                     Contadora</t>
  </si>
  <si>
    <t xml:space="preserve">                  Encargada Financiera</t>
  </si>
  <si>
    <t xml:space="preserve">                      Dilenia de Jesus</t>
  </si>
  <si>
    <t>DEL  EJERCICIO TERMINADO AL  31 DE DICIEMBRE  2023 y 2022</t>
  </si>
  <si>
    <t>Jean Carlos Matos Tejada</t>
  </si>
  <si>
    <t>ESTADO DE CAMBIO DE ACTIVO NETO/PATRIMONIO</t>
  </si>
  <si>
    <t>Saldo al 31 de diciembre de 2021</t>
  </si>
  <si>
    <t xml:space="preserve">Cambio en políticas contables </t>
  </si>
  <si>
    <t>Revaluación de Propiedad, planta y equipo</t>
  </si>
  <si>
    <t>Ajuste al patrimonio</t>
  </si>
  <si>
    <t>Resultado del período</t>
  </si>
  <si>
    <t>Saldo al 31 de diciembre de 2022</t>
  </si>
  <si>
    <t>Efecto del gasto de depreciación de los activos revaluados</t>
  </si>
  <si>
    <t xml:space="preserve">  -</t>
  </si>
  <si>
    <t>Saldo al 31 de diciembre de 2023</t>
  </si>
  <si>
    <t>Directora  Ejecutiva</t>
  </si>
  <si>
    <t>OTROS COBROS</t>
  </si>
  <si>
    <t>Impuestos, Legalizaciones, Declaracion  tardia de  Nacimiento  y Otros</t>
  </si>
  <si>
    <t>a personas con Discapacidad,Impuestos y recargos Nominas atrasadas</t>
  </si>
  <si>
    <t>DURANTE EL AÑO TERMINADO AL 31 DE DICIEMBRE 2023</t>
  </si>
  <si>
    <t>PRESUPUESTO SOBRE LA BASE DE EFECTIVO</t>
  </si>
  <si>
    <t>(CLASIFICACION DE INGRESOS Y GASTOS POR OBJETO)</t>
  </si>
  <si>
    <t>Directora Ejecutiva</t>
  </si>
  <si>
    <t>Seguros Vehiculos</t>
  </si>
  <si>
    <t>Poliza de Incendios y Lineas Aliadas</t>
  </si>
  <si>
    <t>Programas de Informatica</t>
  </si>
  <si>
    <t>Saldo  Inicial</t>
  </si>
  <si>
    <t xml:space="preserve">                        Encargada Financiera</t>
  </si>
  <si>
    <t xml:space="preserve">                                      Director Administrativo Financiero</t>
  </si>
  <si>
    <t xml:space="preserve">                                    Encargada Financiera</t>
  </si>
  <si>
    <t>CONADIS  presenta su presupuesto aprobado según la base contable de efectivo y los estados financieros sobre la base de acumulación (o devengado) conforme  a las  estipulaciones de las Normas Internacionales de Contabilidad del Sector  Público:  Presentación de   Información del Presupuesto en los Estados Financieros.</t>
  </si>
  <si>
    <t xml:space="preserve">Este balance corresponde a una cuenta por pagar de años anteriores y que esta en proceso de pasarla </t>
  </si>
  <si>
    <t>Concepto</t>
  </si>
  <si>
    <t>Presupuesto Reformado (A)</t>
  </si>
  <si>
    <t>Presupuesto Ejecutado (B)</t>
  </si>
  <si>
    <t>Ingresos totales</t>
  </si>
  <si>
    <t>Impuestos</t>
  </si>
  <si>
    <t>Contribuciones Sociales</t>
  </si>
  <si>
    <t>Donaciones</t>
  </si>
  <si>
    <t>Transferencias</t>
  </si>
  <si>
    <t>Ingresos por contraprestación</t>
  </si>
  <si>
    <t>Otros ingresos</t>
  </si>
  <si>
    <t>Venta de activos no financieros</t>
  </si>
  <si>
    <t>Activos financieros con fines de política</t>
  </si>
  <si>
    <t>Ingresos a especificar</t>
  </si>
  <si>
    <t>Gastos totales</t>
  </si>
  <si>
    <t>Remuneraciones y contribuciones</t>
  </si>
  <si>
    <t>Contratación de servicios</t>
  </si>
  <si>
    <t>Materiales y suministros</t>
  </si>
  <si>
    <t>Transferencias corrientes</t>
  </si>
  <si>
    <t>Transferencias de capital</t>
  </si>
  <si>
    <t>Bienes muebles, inmuebles e intangibles</t>
  </si>
  <si>
    <t>Obras</t>
  </si>
  <si>
    <t>Gastos financieros</t>
  </si>
  <si>
    <r>
      <rPr>
        <b/>
        <sz val="12"/>
        <color rgb="FF231F20"/>
        <rFont val="Arial"/>
        <family val="2"/>
      </rPr>
      <t>Resultado financiero (1-2)</t>
    </r>
  </si>
  <si>
    <t>Variación 
(D=A-B)</t>
  </si>
  <si>
    <t>%  Variacion Ejecución (C=B/A)</t>
  </si>
  <si>
    <t>Copy Solutions International. S. A.</t>
  </si>
  <si>
    <t>Estos Estados Financieros  se han preparado sobre la base del costo histórico.</t>
  </si>
  <si>
    <t>de Derecho PCD/PID</t>
  </si>
  <si>
    <t>Capital Aportado</t>
  </si>
  <si>
    <t>Cambio en Politicas Contables</t>
  </si>
  <si>
    <t>Revaluación</t>
  </si>
  <si>
    <t>Total Activos Netos y Patrimonios</t>
  </si>
  <si>
    <t>La preparación de los Estados   Financieros de    conformidad con las Normas Internacionales de Contabilidad del Sector Público (NICSP) requiere que la administración realice juicios, estimaciones y supuestos que afectan la aplicación de las políticas contables y los montos   de los elementos de los estados financieros (activos, pasivos, ingresos y gastos) reportados. Los resultados reales pueden diferir de estas estimaciones.</t>
  </si>
  <si>
    <t>Utiles Menores Medicos y Quirurgico</t>
  </si>
  <si>
    <t>Pasajes y Gastos de Transporte</t>
  </si>
  <si>
    <t xml:space="preserve">     Encargada Financiera</t>
  </si>
  <si>
    <t>Adquisición de Activos Financieros con fines de Políticas</t>
  </si>
  <si>
    <t>ESTADO DE RENDIMIENTO FINANCIERO (Anexo V)</t>
  </si>
  <si>
    <t xml:space="preserve">Director Administrativo Financiero </t>
  </si>
  <si>
    <t>Ana Luisa Martín Vela</t>
  </si>
  <si>
    <t>Directora Técnica</t>
  </si>
  <si>
    <t xml:space="preserve">Encargada Administrativa </t>
  </si>
  <si>
    <t xml:space="preserve">Susana Elisabeth Cornielle                </t>
  </si>
  <si>
    <t xml:space="preserve">Encargada de Planificación </t>
  </si>
  <si>
    <t xml:space="preserve">Encargada de Compras </t>
  </si>
  <si>
    <t>Encargado de Tecnología de la Información</t>
  </si>
  <si>
    <t>Encargada de Contabilidad</t>
  </si>
  <si>
    <t>Arabelly Villar Sánchez</t>
  </si>
  <si>
    <t>Encargada de Presupuesto</t>
  </si>
  <si>
    <t>de Dispositivos de Apoyo Entregados, ver detalle:</t>
  </si>
  <si>
    <t xml:space="preserve">            Claudia María  Pimentel Melgen</t>
  </si>
  <si>
    <t xml:space="preserve">     Dilenia de Jesús</t>
  </si>
  <si>
    <t xml:space="preserve">                                              Victor  Valdez Rodríguez</t>
  </si>
  <si>
    <t>Claudia María  Pimentel Melgen</t>
  </si>
  <si>
    <t xml:space="preserve">                                           Victor  Valdez Rodríguez</t>
  </si>
  <si>
    <t xml:space="preserve">           Dilenia de Jesús</t>
  </si>
  <si>
    <t xml:space="preserve">            Encargada Financiera</t>
  </si>
  <si>
    <t xml:space="preserve">                              Victor  Valdez Rodríguez</t>
  </si>
  <si>
    <t xml:space="preserve">                            Victor  Valdez Rodríguez</t>
  </si>
  <si>
    <t xml:space="preserve">                                                       Victor  Valdez Rodríguez</t>
  </si>
  <si>
    <t xml:space="preserve">                     Dilenia de Jesús</t>
  </si>
  <si>
    <t xml:space="preserve">                                                               Director Administrativo Financiero</t>
  </si>
  <si>
    <t xml:space="preserve">                                     Director Administrativo Financiero</t>
  </si>
  <si>
    <t xml:space="preserve">                    Director Administrativo Financiero</t>
  </si>
  <si>
    <t>DEL EJERCICIO TERMINADO AL 31 DE DICIEMBRE 2024 Y 2023</t>
  </si>
  <si>
    <t>Al 31  de diciembre  2024, los Funcionarios Principales del CONADIS son los descrito a continuación:</t>
  </si>
  <si>
    <t>Presidente</t>
  </si>
  <si>
    <t>Un detalle del efectivo y equivalente de efectivo al 31 de diciembre de 2024 y 2023 es como sigue:</t>
  </si>
  <si>
    <t>Nota # 7 EFECTIVO EQUIVALENTE DE EFECTIVO</t>
  </si>
  <si>
    <t xml:space="preserve">Un detalle de las partidas  del  Inventario  de  Bienes para  consumo , asi como del inventario de dispositivos de 
apoyo al 31 de diciembre de 2024 y 2023 es como sigue:              </t>
  </si>
  <si>
    <t>Un detalle de los pagos anticipados  al 31 de diciembre de 2024 y 2023 es como sigue:</t>
  </si>
  <si>
    <t>Un detalle de las cuentas por pagar a corto plazo  al 31 de diciembre de 2024 y 2023 es como sigue:</t>
  </si>
  <si>
    <t>Un detalle de las retenciones y acumulaciones por pagar   al 31 de diciembre de 2024  y 2023 es como sigue:</t>
  </si>
  <si>
    <t xml:space="preserve">Al 31 de diciembre  de 2024  y 2023, la composición del capital de la Institución es como sigue:  </t>
  </si>
  <si>
    <t>Un detalle de los ingresos por transferencias  al 31  de diciembre de 2024 y 2023 es como sigue:</t>
  </si>
  <si>
    <t>Un detalle de la cuenta subvenciones y otros pagos por transferencia al 31 de diciembre de 2024 y 2023 es como sigue:</t>
  </si>
  <si>
    <t>El Pago de sueldos, salarios, y  beneficios a empleados al 31 de diciembre 2024 y 2023 según detalle:</t>
  </si>
  <si>
    <t>Un detalle de los gastos de suministro y materiales para consumo al  31 de diciembre de 2024 y 2023 es como sigue:</t>
  </si>
  <si>
    <t>Un detalle de los gastos de depreciación y amortización al  31 de diciembre de 2024 y 2023 es como sigue:</t>
  </si>
  <si>
    <t xml:space="preserve">En el englon de la Amortizacion de los Intangible y las Licencias detallamos que  al 31 de Diciembre 2024 el balance de los </t>
  </si>
  <si>
    <t>en el año  2024 tanto en la cuenta del  Fondo Reponible como  en la cuenta bancaria</t>
  </si>
  <si>
    <t>Director Ejecutivo</t>
  </si>
  <si>
    <t xml:space="preserve">Encargado Interino Gestión Humana  </t>
  </si>
  <si>
    <t>B1500000023</t>
  </si>
  <si>
    <t>Producos y Utiles Diversos</t>
  </si>
  <si>
    <t>Baston de 1 Apoyo</t>
  </si>
  <si>
    <t>Baston de 4 Apoyo</t>
  </si>
  <si>
    <t>Cojines Anti-Escara</t>
  </si>
  <si>
    <t xml:space="preserve">Muletas Canadienses </t>
  </si>
  <si>
    <t>Nota # 9 PAGOS ANTICIPADOS</t>
  </si>
  <si>
    <t>Nota 10 .- PROPIEDAD, PLANTA Y EQUIPOS</t>
  </si>
  <si>
    <t>Descargo o Retiro</t>
  </si>
  <si>
    <t>CentroExpert STE, SRL</t>
  </si>
  <si>
    <t>131-20277-2</t>
  </si>
  <si>
    <t>130-29711-8</t>
  </si>
  <si>
    <t>GTG Industrial, SRL</t>
  </si>
  <si>
    <t>Compu-Office Dominicana. SRL</t>
  </si>
  <si>
    <t>E450000000513</t>
  </si>
  <si>
    <t>130-22869-8</t>
  </si>
  <si>
    <t>NOTA 11-INTANGIBLES</t>
  </si>
  <si>
    <t>Nota # 13  RETENCIONES Y ACUMULACIONES POR PAGAR</t>
  </si>
  <si>
    <t>Nota #  14   OTROS PASIVOS CORRIENTES</t>
  </si>
  <si>
    <t xml:space="preserve">Nota #  15   ACTIVOS NETOS/PATRIMONIO(Ver Anexo) </t>
  </si>
  <si>
    <t xml:space="preserve">Nota # 16 TRANSFERENCIA </t>
  </si>
  <si>
    <t>Nota # 17  RECARGO, MULTAS Y OTROS INGRESOS (VI)</t>
  </si>
  <si>
    <t xml:space="preserve"> Nota # 18 SUELDOS, SALARIOS Y BENEFICIOS A EMPLEADOS</t>
  </si>
  <si>
    <t>Nota # 19  SUBVENCIONES Y OTROS PAGOS POR TRANSFERENCIAS</t>
  </si>
  <si>
    <t>Nota # 20   SUMINISTRO MATERIALES PARA CONSUMO</t>
  </si>
  <si>
    <t>Productos Agroforestales</t>
  </si>
  <si>
    <t>Libros Revistas y Periodicos</t>
  </si>
  <si>
    <t>Productos y Utiles de defensa y Seguridad</t>
  </si>
  <si>
    <t>Ajustes</t>
  </si>
  <si>
    <t>Ajuste</t>
  </si>
  <si>
    <t>Amortizacion Acumulada</t>
  </si>
  <si>
    <t>Saldo  del Periodo</t>
  </si>
  <si>
    <t>Amortizacion:</t>
  </si>
  <si>
    <t>Saldo  Amortizacion</t>
  </si>
  <si>
    <t>Saldo del periodo</t>
  </si>
  <si>
    <t>Nota # 12 CUENTAS POR PAGAR A CORTO PLAZO</t>
  </si>
  <si>
    <t xml:space="preserve">Nota # 21 Gastos de depreciación y amortización </t>
  </si>
  <si>
    <t>Avisos Oficiales</t>
  </si>
  <si>
    <t>Mantenimiento y Reparacion Maquinarias y Equipos</t>
  </si>
  <si>
    <t>Actuaciones Artisticas</t>
  </si>
  <si>
    <t>Nota # 22 Otros Gastos</t>
  </si>
  <si>
    <t>Nota # 23 GASTOS FINANCIEROS</t>
  </si>
  <si>
    <t xml:space="preserve">Banco De   Reservas Pago Membresía  Programa  Iberoamericano  </t>
  </si>
  <si>
    <t>Sub-Total</t>
  </si>
  <si>
    <t xml:space="preserve">NOTA 1 0-1 </t>
  </si>
  <si>
    <r>
      <t xml:space="preserve">1.- </t>
    </r>
    <r>
      <rPr>
        <b/>
        <i/>
        <sz val="11"/>
        <color theme="1"/>
        <rFont val="Calibri"/>
        <family val="2"/>
        <scheme val="minor"/>
      </rPr>
      <t>CONSEJO NACIONAL DE DISCAPACIDAD</t>
    </r>
    <r>
      <rPr>
        <i/>
        <sz val="11"/>
        <color theme="1"/>
        <rFont val="Calibri"/>
        <family val="2"/>
        <scheme val="minor"/>
      </rPr>
      <t xml:space="preserve"> (CONADIS) Institución Sin Fines de Lucro Institución que tiene por objeto   velar y garantizar la igualdad de derechos y la equiparación de oportunidades a todas las personas con discapacidad y regula a las personas morales sin fines de lucro, cuyo objeto social sea trabajar para mejorar la calidad de vida de las personas con discapacidad y dada la necesidad de que en la República Dominicana existiese un instrumento legal que propicie y garantice la integración social, económica   y cultural de las personas con discapacidad se crea   la Ley 42-2000, del 30 de junio del año 2000, la cual fue derogada por la Ley 5-13 .CONADIS tiene su domicilio en la calle Proyecto 27 de febrero No. 12, Miraflores, Santo Domingo, R. D.						
						</t>
    </r>
  </si>
  <si>
    <t xml:space="preserve"> B1500004109</t>
  </si>
  <si>
    <t>B1500004650</t>
  </si>
  <si>
    <t>Recibido de la Sisalril Subsidio por Materinidad</t>
  </si>
  <si>
    <t>Otros Pagos</t>
  </si>
  <si>
    <t>Utiles Escolares</t>
  </si>
  <si>
    <t>Alcaldia Distrito Nacional</t>
  </si>
  <si>
    <t>B1500047789</t>
  </si>
  <si>
    <t>401-00747-9</t>
  </si>
  <si>
    <t>B1500047790</t>
  </si>
  <si>
    <t>Edeeste</t>
  </si>
  <si>
    <t>B1500306949</t>
  </si>
  <si>
    <t>101-82021-7</t>
  </si>
  <si>
    <t>Ajuste  del Periodo</t>
  </si>
  <si>
    <t>segun  detalle:</t>
  </si>
  <si>
    <t>Perdida por Deterioro</t>
  </si>
  <si>
    <t>Encargada Departamento  Financiero</t>
  </si>
  <si>
    <t>Alexis Antonio Alcántara </t>
  </si>
  <si>
    <t>Dilenia de Jesús</t>
  </si>
  <si>
    <t>José Lucia Rojas</t>
  </si>
  <si>
    <t>El presupuesto se aprueba según la base contable de efectivo siguiendo una clasificación de pago por objeto. El presupuesto aprobado cubre el período fiscal que va desde el 1ro. de enero hasta el 31 de Diciembre 2024 y es incluido como información suplementaria en los estados financieros  cortados a esta mismas fecha y sus notas.</t>
  </si>
  <si>
    <t>Muletas Auxiliares de Aluminio</t>
  </si>
  <si>
    <t xml:space="preserve">Esto responde a la adquisicion de  bienes registrados en cuentas por pagar . Se procede al registro en el SIAB en la etapa </t>
  </si>
  <si>
    <t>de libramiento de pago (Orden de Pago).</t>
  </si>
  <si>
    <t>En el renglon de los Activos Fijos en los Mobiliarios y Equipos existe una diferencia en relacion al registro de los activos en el SIAB.</t>
  </si>
  <si>
    <t>-</t>
  </si>
  <si>
    <t>Banco de Reservas Cta Donaciones p/diferentes Proyectos 9600438806</t>
  </si>
  <si>
    <t>Durante el periodo 2024 producto de activos descargados se origino una perdida por deterioro</t>
  </si>
  <si>
    <t>Nota # 24  PERDIDA POR DETERIORO</t>
  </si>
  <si>
    <t>Benny Eurípides Metz Muñoz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</si>
</sst>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_-* #,##0.00_-;\-* #,##0.00_-;_-* &quot;-&quot;??_-;_-@_-"/>
    <numFmt numFmtId="165" formatCode="_(* #,##0_);_(* \(#,##0\);_(* &quot;-&quot;??_);_(@_)"/>
    <numFmt numFmtId="166" formatCode="_-* #,##0.00\ _P_t_s_-;\-* #,##0.00\ _P_t_s_-;_-* &quot;-&quot;??\ _P_t_s_-;_-@_-"/>
    <numFmt numFmtId="167" formatCode="###0;###0"/>
    <numFmt numFmtId="168" formatCode="###0.0;###0.0"/>
    <numFmt numFmtId="169" formatCode="_-* #,##0_-;\-* #,##0_-;_-* &quot;-&quot;??_-;_-@_-"/>
    <numFmt numFmtId="170" formatCode="#,##0.00;[Red]#,##0.00"/>
  </numFmts>
  <fonts count="69" x14ac:knownFonts="1">
    <font>
      <sz val="11"/>
      <color theme="1"/>
      <name val="Calibri"/>
      <family val="2"/>
      <scheme val="minor"/>
    </font>
    <font>
      <sz val="12"/>
      <color theme="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8"/>
      <color theme="3"/>
      <name val="Cambria"/>
      <family val="2"/>
      <scheme val="major"/>
    </font>
    <font>
      <b/>
      <sz val="12"/>
      <color theme="3"/>
      <name val="Cambria"/>
      <family val="1"/>
      <scheme val="major"/>
    </font>
    <font>
      <sz val="10"/>
      <name val="Arial"/>
      <family val="2"/>
    </font>
    <font>
      <b/>
      <sz val="12"/>
      <color rgb="FF002060"/>
      <name val="Calibri"/>
      <family val="2"/>
      <scheme val="minor"/>
    </font>
    <font>
      <b/>
      <sz val="12"/>
      <color theme="1"/>
      <name val="Calibri"/>
      <family val="2"/>
      <scheme val="minor"/>
    </font>
    <font>
      <sz val="14"/>
      <color theme="1"/>
      <name val="Calibri"/>
      <family val="2"/>
      <scheme val="minor"/>
    </font>
    <font>
      <b/>
      <sz val="14"/>
      <color theme="1"/>
      <name val="Calibri"/>
      <family val="2"/>
      <scheme val="minor"/>
    </font>
    <font>
      <b/>
      <sz val="11"/>
      <color rgb="FF002060"/>
      <name val="Calibri"/>
      <family val="2"/>
      <scheme val="minor"/>
    </font>
    <font>
      <sz val="11"/>
      <name val="Calibri"/>
      <family val="2"/>
      <scheme val="minor"/>
    </font>
    <font>
      <b/>
      <sz val="11"/>
      <color theme="1"/>
      <name val="Calibri"/>
      <family val="2"/>
      <scheme val="minor"/>
    </font>
    <font>
      <b/>
      <sz val="11"/>
      <color rgb="FF231F20"/>
      <name val="Times New Roman"/>
      <family val="1"/>
    </font>
    <font>
      <b/>
      <sz val="11"/>
      <color rgb="FF000000"/>
      <name val="Times New Roman"/>
      <family val="1"/>
    </font>
    <font>
      <b/>
      <sz val="14"/>
      <color theme="3" tint="-0.249977111117893"/>
      <name val="Cambria"/>
      <family val="2"/>
      <scheme val="major"/>
    </font>
    <font>
      <b/>
      <sz val="12"/>
      <color theme="3" tint="-0.249977111117893"/>
      <name val="Cambria"/>
      <family val="1"/>
      <scheme val="major"/>
    </font>
    <font>
      <b/>
      <sz val="12"/>
      <color rgb="FF002060"/>
      <name val="Cambria"/>
      <family val="1"/>
      <scheme val="major"/>
    </font>
    <font>
      <b/>
      <sz val="12"/>
      <color theme="4" tint="-0.249977111117893"/>
      <name val="Cambria"/>
      <family val="1"/>
      <scheme val="major"/>
    </font>
    <font>
      <sz val="12"/>
      <color rgb="FF231F20"/>
      <name val="Times New Roman"/>
      <family val="1"/>
    </font>
    <font>
      <sz val="11"/>
      <color rgb="FF231F20"/>
      <name val="Calibri"/>
      <family val="2"/>
      <scheme val="minor"/>
    </font>
    <font>
      <b/>
      <sz val="11"/>
      <color rgb="FF231F20"/>
      <name val="Calibri"/>
      <family val="2"/>
      <scheme val="minor"/>
    </font>
    <font>
      <u/>
      <sz val="11"/>
      <color rgb="FF231F20"/>
      <name val="Calibri"/>
      <family val="2"/>
      <scheme val="minor"/>
    </font>
    <font>
      <b/>
      <sz val="11"/>
      <color theme="3" tint="-0.249977111117893"/>
      <name val="Calibri"/>
      <family val="2"/>
      <scheme val="minor"/>
    </font>
    <font>
      <sz val="10"/>
      <color theme="1"/>
      <name val="Calibri"/>
      <family val="2"/>
      <scheme val="minor"/>
    </font>
    <font>
      <i/>
      <sz val="11"/>
      <color theme="1"/>
      <name val="Calibri"/>
      <family val="2"/>
      <scheme val="minor"/>
    </font>
    <font>
      <sz val="12"/>
      <color theme="1"/>
      <name val="Tahoma"/>
      <family val="2"/>
    </font>
    <font>
      <i/>
      <sz val="11"/>
      <color rgb="FF1F497D"/>
      <name val="Tahoma"/>
      <family val="2"/>
    </font>
    <font>
      <i/>
      <sz val="11"/>
      <color rgb="FF000000"/>
      <name val="Tahoma"/>
      <family val="2"/>
    </font>
    <font>
      <i/>
      <sz val="11"/>
      <color rgb="FF000000"/>
      <name val="Calibri"/>
      <family val="2"/>
      <scheme val="minor"/>
    </font>
    <font>
      <b/>
      <i/>
      <sz val="11"/>
      <color theme="1"/>
      <name val="Calibri"/>
      <family val="2"/>
      <scheme val="minor"/>
    </font>
    <font>
      <b/>
      <i/>
      <sz val="11"/>
      <color rgb="FF000000"/>
      <name val="Calibri"/>
      <family val="2"/>
      <scheme val="minor"/>
    </font>
    <font>
      <b/>
      <sz val="10"/>
      <color theme="1"/>
      <name val="Calibri"/>
      <family val="2"/>
      <scheme val="minor"/>
    </font>
    <font>
      <b/>
      <i/>
      <sz val="12"/>
      <color theme="1"/>
      <name val="Calibri"/>
      <family val="2"/>
      <scheme val="minor"/>
    </font>
    <font>
      <i/>
      <sz val="12"/>
      <color theme="1"/>
      <name val="Calibri"/>
      <family val="2"/>
      <scheme val="minor"/>
    </font>
    <font>
      <b/>
      <i/>
      <u/>
      <sz val="11"/>
      <color theme="1"/>
      <name val="Calibri"/>
      <family val="2"/>
      <scheme val="minor"/>
    </font>
    <font>
      <sz val="10"/>
      <color theme="1"/>
      <name val="Arial"/>
      <family val="2"/>
    </font>
    <font>
      <sz val="7.5"/>
      <color theme="1"/>
      <name val="Arial"/>
      <family val="2"/>
    </font>
    <font>
      <b/>
      <sz val="11"/>
      <color rgb="FF231F20"/>
      <name val="Arial"/>
      <family val="2"/>
    </font>
    <font>
      <sz val="6.5"/>
      <color theme="1"/>
      <name val="Arial"/>
      <family val="2"/>
    </font>
    <font>
      <sz val="6.5"/>
      <color theme="1"/>
      <name val="Calibri"/>
      <family val="2"/>
      <scheme val="minor"/>
    </font>
    <font>
      <b/>
      <sz val="9"/>
      <color rgb="FF231F20"/>
      <name val="Times New Roman"/>
      <family val="1"/>
    </font>
    <font>
      <b/>
      <sz val="12"/>
      <color rgb="FF231F20"/>
      <name val="Arial"/>
      <family val="2"/>
    </font>
    <font>
      <sz val="12"/>
      <color rgb="FF231F20"/>
      <name val="Arial"/>
      <family val="2"/>
    </font>
    <font>
      <sz val="11"/>
      <color theme="1"/>
      <name val="Arial"/>
      <family val="2"/>
    </font>
    <font>
      <sz val="9"/>
      <color theme="1"/>
      <name val="Arial"/>
      <family val="2"/>
    </font>
    <font>
      <u/>
      <sz val="11"/>
      <color theme="1"/>
      <name val="Calibri"/>
      <family val="2"/>
      <scheme val="minor"/>
    </font>
    <font>
      <b/>
      <sz val="11"/>
      <color theme="4" tint="-0.249977111117893"/>
      <name val="Times New Roman"/>
      <family val="1"/>
    </font>
    <font>
      <b/>
      <sz val="13"/>
      <color theme="1"/>
      <name val="Calibri"/>
      <family val="2"/>
      <scheme val="minor"/>
    </font>
    <font>
      <sz val="13"/>
      <color theme="1"/>
      <name val="Calibri"/>
      <family val="2"/>
      <scheme val="minor"/>
    </font>
    <font>
      <b/>
      <sz val="13"/>
      <color theme="1" tint="4.9989318521683403E-2"/>
      <name val="Calibri"/>
      <family val="2"/>
      <scheme val="minor"/>
    </font>
    <font>
      <sz val="12"/>
      <color theme="1"/>
      <name val="Arial"/>
      <family val="2"/>
    </font>
    <font>
      <b/>
      <i/>
      <sz val="14"/>
      <color theme="3" tint="-0.499984740745262"/>
      <name val="Calibri"/>
      <family val="2"/>
      <scheme val="minor"/>
    </font>
    <font>
      <b/>
      <i/>
      <sz val="12"/>
      <color theme="3" tint="-0.499984740745262"/>
      <name val="Calibri"/>
      <family val="2"/>
      <scheme val="minor"/>
    </font>
    <font>
      <b/>
      <sz val="12"/>
      <color theme="3" tint="-0.499984740745262"/>
      <name val="Cambria"/>
      <family val="2"/>
      <scheme val="major"/>
    </font>
    <font>
      <sz val="11"/>
      <color theme="3" tint="-0.499984740745262"/>
      <name val="Calibri"/>
      <family val="2"/>
      <scheme val="minor"/>
    </font>
    <font>
      <b/>
      <sz val="11"/>
      <color theme="3" tint="-0.499984740745262"/>
      <name val="Times New Roman"/>
      <family val="1"/>
    </font>
    <font>
      <sz val="11"/>
      <color theme="3" tint="-0.499984740745262"/>
      <name val="Arial"/>
      <family val="2"/>
    </font>
    <font>
      <b/>
      <sz val="12"/>
      <color theme="3" tint="-0.499984740745262"/>
      <name val="Times New Roman"/>
      <family val="1"/>
    </font>
    <font>
      <b/>
      <sz val="12"/>
      <color theme="3" tint="-0.499984740745262"/>
      <name val="Cambria"/>
      <family val="1"/>
      <scheme val="major"/>
    </font>
    <font>
      <b/>
      <sz val="12"/>
      <color theme="3" tint="-0.249977111117893"/>
      <name val="Calibri"/>
      <family val="2"/>
      <scheme val="minor"/>
    </font>
    <font>
      <b/>
      <sz val="12"/>
      <name val="Arial"/>
      <family val="2"/>
    </font>
    <font>
      <b/>
      <sz val="12"/>
      <color rgb="FF000000"/>
      <name val="Arial"/>
      <family val="2"/>
    </font>
    <font>
      <sz val="12"/>
      <color rgb="FF000000"/>
      <name val="Arial"/>
      <family val="2"/>
    </font>
    <font>
      <sz val="12"/>
      <name val="Arial"/>
      <family val="2"/>
    </font>
    <font>
      <i/>
      <sz val="10"/>
      <color theme="1" tint="4.9989318521683403E-2"/>
      <name val="Times New Roman"/>
      <family val="1"/>
    </font>
    <font>
      <i/>
      <sz val="11"/>
      <color theme="1"/>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indexed="64"/>
      </top>
      <bottom style="double">
        <color indexed="64"/>
      </bottom>
      <diagonal/>
    </border>
    <border>
      <left/>
      <right/>
      <top/>
      <bottom style="thick">
        <color theme="4"/>
      </bottom>
      <diagonal/>
    </border>
    <border>
      <left/>
      <right/>
      <top/>
      <bottom style="medium">
        <color indexed="64"/>
      </bottom>
      <diagonal/>
    </border>
    <border>
      <left/>
      <right/>
      <top/>
      <bottom style="thin">
        <color indexed="64"/>
      </bottom>
      <diagonal/>
    </border>
    <border>
      <left/>
      <right/>
      <top/>
      <bottom style="double">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ck">
        <color theme="4" tint="-0.24994659260841701"/>
      </bottom>
      <diagonal/>
    </border>
    <border>
      <left/>
      <right/>
      <top style="thin">
        <color indexed="64"/>
      </top>
      <bottom style="thin">
        <color indexed="64"/>
      </bottom>
      <diagonal/>
    </border>
  </borders>
  <cellStyleXfs count="14">
    <xf numFmtId="0" fontId="0" fillId="0" borderId="0"/>
    <xf numFmtId="43" fontId="2"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164" fontId="2" fillId="0" borderId="0" applyFont="0" applyFill="0" applyBorder="0" applyAlignment="0" applyProtection="0"/>
    <xf numFmtId="0" fontId="3" fillId="0" borderId="0" applyNumberFormat="0" applyFill="0" applyBorder="0" applyAlignment="0" applyProtection="0"/>
    <xf numFmtId="166" fontId="7"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7" fillId="0" borderId="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273">
    <xf numFmtId="0" fontId="0" fillId="0" borderId="0" xfId="0"/>
    <xf numFmtId="0" fontId="21" fillId="2" borderId="0" xfId="0" applyFont="1" applyFill="1" applyAlignment="1">
      <alignment vertical="center" wrapText="1"/>
    </xf>
    <xf numFmtId="165" fontId="21" fillId="2" borderId="0" xfId="1" applyNumberFormat="1" applyFont="1" applyFill="1" applyAlignment="1">
      <alignment horizontal="center" vertical="center" wrapText="1"/>
    </xf>
    <xf numFmtId="0" fontId="1" fillId="2" borderId="0" xfId="0" applyFont="1" applyFill="1"/>
    <xf numFmtId="0" fontId="22" fillId="2" borderId="0" xfId="0" applyFont="1" applyFill="1" applyAlignment="1">
      <alignment vertical="center" wrapText="1"/>
    </xf>
    <xf numFmtId="165" fontId="22" fillId="2" borderId="0" xfId="1" applyNumberFormat="1" applyFont="1" applyFill="1" applyAlignment="1">
      <alignment horizontal="center" vertical="center" wrapText="1"/>
    </xf>
    <xf numFmtId="0" fontId="26" fillId="2" borderId="0" xfId="0" applyFont="1" applyFill="1"/>
    <xf numFmtId="0" fontId="27" fillId="2" borderId="0" xfId="0" applyFont="1" applyFill="1"/>
    <xf numFmtId="43" fontId="27" fillId="2" borderId="0" xfId="1" applyFont="1" applyFill="1"/>
    <xf numFmtId="0" fontId="28" fillId="2" borderId="0" xfId="0" applyFont="1" applyFill="1"/>
    <xf numFmtId="0" fontId="27" fillId="2" borderId="0" xfId="0" applyFont="1" applyFill="1" applyAlignment="1">
      <alignment vertical="center" wrapText="1"/>
    </xf>
    <xf numFmtId="0" fontId="34" fillId="2" borderId="0" xfId="0" applyFont="1" applyFill="1"/>
    <xf numFmtId="0" fontId="29" fillId="2" borderId="0" xfId="0" applyFont="1" applyFill="1" applyAlignment="1">
      <alignment horizontal="center" vertical="center"/>
    </xf>
    <xf numFmtId="0" fontId="30" fillId="2" borderId="0" xfId="0" applyFont="1" applyFill="1" applyAlignment="1">
      <alignment vertical="center" wrapText="1"/>
    </xf>
    <xf numFmtId="0" fontId="32" fillId="2" borderId="0" xfId="0" applyFont="1" applyFill="1"/>
    <xf numFmtId="0" fontId="32" fillId="2" borderId="0" xfId="0" applyFont="1" applyFill="1" applyAlignment="1">
      <alignment vertical="center"/>
    </xf>
    <xf numFmtId="0" fontId="35" fillId="2" borderId="0" xfId="0" applyFont="1" applyFill="1"/>
    <xf numFmtId="0" fontId="36" fillId="2" borderId="0" xfId="0" applyFont="1" applyFill="1"/>
    <xf numFmtId="43" fontId="32" fillId="2" borderId="0" xfId="1" applyFont="1" applyFill="1"/>
    <xf numFmtId="0" fontId="37" fillId="2" borderId="0" xfId="0" applyFont="1" applyFill="1"/>
    <xf numFmtId="0" fontId="32" fillId="2" borderId="9" xfId="0" applyFont="1" applyFill="1" applyBorder="1" applyAlignment="1">
      <alignment horizontal="center" wrapText="1"/>
    </xf>
    <xf numFmtId="0" fontId="0" fillId="2" borderId="0" xfId="0" applyFill="1"/>
    <xf numFmtId="0" fontId="0" fillId="2" borderId="0" xfId="0" applyFont="1" applyFill="1"/>
    <xf numFmtId="0" fontId="12" fillId="2" borderId="0" xfId="0" applyFont="1" applyFill="1" applyAlignment="1">
      <alignment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13" fillId="2" borderId="0" xfId="9" applyFont="1" applyFill="1" applyAlignment="1">
      <alignment horizontal="left"/>
    </xf>
    <xf numFmtId="165" fontId="1" fillId="2" borderId="0" xfId="1" applyNumberFormat="1" applyFont="1" applyFill="1" applyBorder="1"/>
    <xf numFmtId="165" fontId="1" fillId="2" borderId="4" xfId="1" applyNumberFormat="1" applyFont="1" applyFill="1" applyBorder="1"/>
    <xf numFmtId="165" fontId="9" fillId="2" borderId="0" xfId="0" applyNumberFormat="1" applyFont="1" applyFill="1" applyBorder="1"/>
    <xf numFmtId="0" fontId="13" fillId="2" borderId="0" xfId="9" applyFont="1" applyFill="1" applyAlignment="1">
      <alignment horizontal="center"/>
    </xf>
    <xf numFmtId="165" fontId="1" fillId="2" borderId="0" xfId="0" applyNumberFormat="1" applyFont="1" applyFill="1"/>
    <xf numFmtId="165" fontId="1" fillId="2" borderId="0" xfId="1" applyNumberFormat="1" applyFont="1" applyFill="1"/>
    <xf numFmtId="0" fontId="13" fillId="2" borderId="0" xfId="9" applyFont="1" applyFill="1"/>
    <xf numFmtId="165" fontId="1" fillId="2" borderId="3" xfId="1" applyNumberFormat="1" applyFont="1" applyFill="1" applyBorder="1"/>
    <xf numFmtId="165" fontId="9" fillId="2" borderId="3" xfId="1" applyNumberFormat="1" applyFont="1" applyFill="1" applyBorder="1"/>
    <xf numFmtId="165" fontId="9" fillId="2" borderId="0" xfId="1" applyNumberFormat="1" applyFont="1" applyFill="1" applyBorder="1"/>
    <xf numFmtId="165" fontId="9" fillId="2" borderId="1" xfId="1" applyNumberFormat="1" applyFont="1" applyFill="1" applyBorder="1"/>
    <xf numFmtId="165" fontId="0" fillId="2" borderId="0" xfId="0" applyNumberFormat="1" applyFill="1"/>
    <xf numFmtId="0" fontId="9" fillId="2" borderId="0" xfId="0" applyFont="1" applyFill="1"/>
    <xf numFmtId="0" fontId="11" fillId="2" borderId="0" xfId="0" applyFont="1" applyFill="1" applyAlignment="1">
      <alignment horizontal="left"/>
    </xf>
    <xf numFmtId="0" fontId="11"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lignment horizontal="left"/>
    </xf>
    <xf numFmtId="0" fontId="10" fillId="2" borderId="0" xfId="0" applyFont="1" applyFill="1"/>
    <xf numFmtId="0" fontId="19" fillId="2" borderId="0" xfId="0" applyFont="1" applyFill="1" applyAlignment="1">
      <alignment horizontal="center"/>
    </xf>
    <xf numFmtId="0" fontId="6" fillId="2" borderId="0" xfId="3" applyFont="1" applyFill="1" applyBorder="1" applyAlignment="1">
      <alignment horizontal="center"/>
    </xf>
    <xf numFmtId="165" fontId="2" fillId="2" borderId="0" xfId="1" applyNumberFormat="1" applyFont="1" applyFill="1"/>
    <xf numFmtId="0" fontId="1" fillId="2" borderId="0" xfId="0" applyFont="1" applyFill="1" applyAlignment="1">
      <alignment vertical="center"/>
    </xf>
    <xf numFmtId="165" fontId="9" fillId="2" borderId="0" xfId="0" applyNumberFormat="1" applyFont="1" applyFill="1"/>
    <xf numFmtId="165" fontId="9" fillId="2" borderId="6" xfId="1" applyNumberFormat="1" applyFont="1" applyFill="1" applyBorder="1"/>
    <xf numFmtId="165" fontId="9" fillId="2" borderId="5" xfId="0" applyNumberFormat="1" applyFont="1" applyFill="1" applyBorder="1"/>
    <xf numFmtId="165" fontId="1" fillId="2" borderId="3" xfId="0" applyNumberFormat="1" applyFont="1" applyFill="1" applyBorder="1"/>
    <xf numFmtId="165" fontId="9" fillId="2" borderId="5" xfId="1" applyNumberFormat="1" applyFont="1" applyFill="1" applyBorder="1"/>
    <xf numFmtId="165" fontId="11" fillId="2" borderId="0" xfId="0" applyNumberFormat="1" applyFont="1" applyFill="1" applyAlignment="1">
      <alignment horizontal="center"/>
    </xf>
    <xf numFmtId="0" fontId="11" fillId="2" borderId="0" xfId="0" applyFont="1" applyFill="1"/>
    <xf numFmtId="0" fontId="18" fillId="2" borderId="0" xfId="0" applyFont="1" applyFill="1" applyAlignment="1"/>
    <xf numFmtId="165" fontId="22" fillId="2" borderId="0" xfId="1" applyNumberFormat="1" applyFont="1" applyFill="1" applyAlignment="1">
      <alignment horizontal="center" vertical="center"/>
    </xf>
    <xf numFmtId="165" fontId="22" fillId="2" borderId="3" xfId="1" applyNumberFormat="1" applyFont="1" applyFill="1" applyBorder="1" applyAlignment="1">
      <alignment horizontal="center" vertical="center" wrapText="1"/>
    </xf>
    <xf numFmtId="165" fontId="14" fillId="2" borderId="0" xfId="1" applyNumberFormat="1" applyFont="1" applyFill="1" applyAlignment="1">
      <alignment horizontal="center" vertical="center" wrapText="1"/>
    </xf>
    <xf numFmtId="43" fontId="1" fillId="2" borderId="0" xfId="0" applyNumberFormat="1" applyFont="1" applyFill="1"/>
    <xf numFmtId="0" fontId="23" fillId="2" borderId="0" xfId="0" applyFont="1" applyFill="1" applyAlignment="1">
      <alignment vertical="center" wrapText="1"/>
    </xf>
    <xf numFmtId="165" fontId="23" fillId="2" borderId="0" xfId="1" applyNumberFormat="1" applyFont="1" applyFill="1" applyAlignment="1">
      <alignment horizontal="center" vertical="center" wrapText="1"/>
    </xf>
    <xf numFmtId="0" fontId="0" fillId="2" borderId="0" xfId="0" applyFill="1" applyAlignment="1">
      <alignment vertical="top" wrapText="1"/>
    </xf>
    <xf numFmtId="165" fontId="0" fillId="2" borderId="0" xfId="1" applyNumberFormat="1" applyFont="1" applyFill="1" applyAlignment="1">
      <alignment vertical="center" wrapText="1"/>
    </xf>
    <xf numFmtId="165" fontId="22" fillId="2" borderId="0" xfId="1" applyNumberFormat="1" applyFont="1" applyFill="1" applyAlignment="1">
      <alignment horizontal="justify" vertical="center" wrapText="1"/>
    </xf>
    <xf numFmtId="0" fontId="22" fillId="2" borderId="0" xfId="0" applyFont="1" applyFill="1" applyAlignment="1">
      <alignment horizontal="left" vertical="center" wrapText="1"/>
    </xf>
    <xf numFmtId="165" fontId="22" fillId="2" borderId="0" xfId="1" applyNumberFormat="1" applyFont="1" applyFill="1" applyBorder="1" applyAlignment="1">
      <alignment horizontal="center" vertical="center" wrapText="1"/>
    </xf>
    <xf numFmtId="165" fontId="24" fillId="2" borderId="0" xfId="1" applyNumberFormat="1" applyFont="1" applyFill="1" applyAlignment="1">
      <alignment horizontal="center" vertical="center" wrapText="1"/>
    </xf>
    <xf numFmtId="0" fontId="25" fillId="2" borderId="0" xfId="0" applyFont="1" applyFill="1" applyAlignment="1">
      <alignment horizontal="left" vertical="center" wrapText="1"/>
    </xf>
    <xf numFmtId="0" fontId="23" fillId="2" borderId="0" xfId="0" applyFont="1" applyFill="1" applyAlignment="1">
      <alignment horizontal="left" vertical="center" wrapText="1"/>
    </xf>
    <xf numFmtId="165" fontId="0" fillId="2" borderId="0" xfId="1" applyNumberFormat="1" applyFont="1" applyFill="1"/>
    <xf numFmtId="0" fontId="25" fillId="2" borderId="0" xfId="0" applyFont="1" applyFill="1" applyAlignment="1">
      <alignment vertical="center" wrapText="1"/>
    </xf>
    <xf numFmtId="165" fontId="23" fillId="2" borderId="3" xfId="1" applyNumberFormat="1" applyFont="1" applyFill="1" applyBorder="1" applyAlignment="1">
      <alignment horizontal="center" wrapText="1"/>
    </xf>
    <xf numFmtId="165" fontId="22" fillId="2" borderId="7" xfId="1" applyNumberFormat="1" applyFont="1" applyFill="1" applyBorder="1" applyAlignment="1">
      <alignment horizontal="center" vertical="center" wrapText="1"/>
    </xf>
    <xf numFmtId="165" fontId="23" fillId="2" borderId="1" xfId="1" applyNumberFormat="1" applyFont="1" applyFill="1" applyBorder="1" applyAlignment="1">
      <alignment horizontal="center" vertical="center" wrapText="1"/>
    </xf>
    <xf numFmtId="0" fontId="14" fillId="2" borderId="0" xfId="0" applyFont="1" applyFill="1" applyAlignment="1">
      <alignment horizontal="center"/>
    </xf>
    <xf numFmtId="0" fontId="0" fillId="2" borderId="0" xfId="0" applyFill="1" applyAlignment="1">
      <alignment horizontal="center"/>
    </xf>
    <xf numFmtId="169" fontId="44" fillId="2" borderId="1" xfId="8" applyNumberFormat="1" applyFont="1" applyFill="1" applyBorder="1" applyAlignment="1">
      <alignment horizontal="center" vertical="center" wrapText="1"/>
    </xf>
    <xf numFmtId="4" fontId="0" fillId="2" borderId="0" xfId="0" applyNumberFormat="1" applyFill="1"/>
    <xf numFmtId="43" fontId="0" fillId="2" borderId="0" xfId="0" applyNumberFormat="1" applyFill="1"/>
    <xf numFmtId="0" fontId="11" fillId="2" borderId="0" xfId="0" applyFont="1" applyFill="1" applyAlignment="1">
      <alignment horizontal="center"/>
    </xf>
    <xf numFmtId="0" fontId="10" fillId="2" borderId="0" xfId="0" applyFont="1" applyFill="1" applyAlignment="1">
      <alignment horizontal="center"/>
    </xf>
    <xf numFmtId="0" fontId="0" fillId="2" borderId="0" xfId="0" applyFill="1" applyBorder="1"/>
    <xf numFmtId="0" fontId="50" fillId="2" borderId="0" xfId="0" applyFont="1" applyFill="1" applyBorder="1" applyAlignment="1">
      <alignment horizontal="center" wrapText="1"/>
    </xf>
    <xf numFmtId="10" fontId="50" fillId="2" borderId="0" xfId="13" applyNumberFormat="1" applyFont="1" applyFill="1" applyBorder="1" applyAlignment="1">
      <alignment horizontal="center" wrapText="1"/>
    </xf>
    <xf numFmtId="10" fontId="52" fillId="2" borderId="0" xfId="13" applyNumberFormat="1" applyFont="1" applyFill="1" applyBorder="1" applyAlignment="1">
      <alignment horizontal="center" wrapText="1"/>
    </xf>
    <xf numFmtId="10" fontId="0" fillId="2" borderId="0" xfId="0" applyNumberFormat="1" applyFill="1" applyBorder="1" applyAlignment="1">
      <alignment horizontal="center"/>
    </xf>
    <xf numFmtId="165" fontId="0" fillId="2" borderId="0" xfId="0" applyNumberFormat="1" applyFill="1" applyBorder="1"/>
    <xf numFmtId="170" fontId="51" fillId="2" borderId="0" xfId="0" applyNumberFormat="1" applyFont="1" applyFill="1" applyBorder="1" applyAlignment="1">
      <alignment horizontal="center"/>
    </xf>
    <xf numFmtId="10" fontId="51" fillId="2" borderId="0" xfId="13" applyNumberFormat="1" applyFont="1" applyFill="1" applyBorder="1" applyAlignment="1">
      <alignment horizontal="center"/>
    </xf>
    <xf numFmtId="0" fontId="0" fillId="2" borderId="0" xfId="0" applyFill="1" applyBorder="1" applyAlignment="1">
      <alignment horizontal="center"/>
    </xf>
    <xf numFmtId="9" fontId="0" fillId="2" borderId="0" xfId="13" applyFont="1" applyFill="1" applyBorder="1" applyAlignment="1">
      <alignment horizontal="center"/>
    </xf>
    <xf numFmtId="0" fontId="15" fillId="2" borderId="0" xfId="0" applyFont="1" applyFill="1" applyBorder="1" applyAlignment="1">
      <alignment vertical="center"/>
    </xf>
    <xf numFmtId="0" fontId="16" fillId="2" borderId="0" xfId="0" applyFont="1" applyFill="1" applyBorder="1" applyAlignment="1">
      <alignment vertical="center"/>
    </xf>
    <xf numFmtId="0" fontId="49" fillId="2" borderId="0" xfId="0" applyFont="1" applyFill="1" applyBorder="1" applyAlignment="1">
      <alignment horizontal="center" vertical="center"/>
    </xf>
    <xf numFmtId="169" fontId="49" fillId="2" borderId="0" xfId="8" applyNumberFormat="1" applyFont="1" applyFill="1" applyBorder="1" applyAlignment="1">
      <alignment horizontal="center" vertical="center"/>
    </xf>
    <xf numFmtId="169" fontId="0" fillId="2" borderId="0" xfId="8" applyNumberFormat="1" applyFont="1" applyFill="1"/>
    <xf numFmtId="0" fontId="0" fillId="2" borderId="0" xfId="0" applyFill="1" applyAlignment="1">
      <alignment horizontal="left"/>
    </xf>
    <xf numFmtId="0" fontId="11" fillId="2" borderId="0" xfId="0" applyFont="1" applyFill="1" applyAlignment="1"/>
    <xf numFmtId="0" fontId="39" fillId="2" borderId="0" xfId="0" applyFont="1" applyFill="1" applyAlignment="1">
      <alignment vertical="center" wrapText="1"/>
    </xf>
    <xf numFmtId="0" fontId="21" fillId="2" borderId="0" xfId="0" applyFont="1" applyFill="1" applyAlignment="1">
      <alignment horizontal="left" vertical="center" wrapText="1" indent="2"/>
    </xf>
    <xf numFmtId="0" fontId="26" fillId="2" borderId="0" xfId="0" applyFont="1" applyFill="1" applyAlignment="1">
      <alignment vertical="center" wrapText="1"/>
    </xf>
    <xf numFmtId="0" fontId="21" fillId="2" borderId="0" xfId="0" applyFont="1" applyFill="1" applyAlignment="1">
      <alignment horizontal="left" vertical="center" wrapText="1" indent="3"/>
    </xf>
    <xf numFmtId="0" fontId="40" fillId="2" borderId="1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1" fillId="2" borderId="0" xfId="0" applyFont="1" applyFill="1" applyAlignment="1">
      <alignment vertical="center" wrapText="1"/>
    </xf>
    <xf numFmtId="0" fontId="42" fillId="2" borderId="0" xfId="0" applyFont="1" applyFill="1" applyAlignment="1">
      <alignment vertical="center" wrapText="1"/>
    </xf>
    <xf numFmtId="0" fontId="44" fillId="2" borderId="0" xfId="0" applyFont="1" applyFill="1" applyAlignment="1">
      <alignment vertical="center" wrapText="1"/>
    </xf>
    <xf numFmtId="169" fontId="44" fillId="2" borderId="0" xfId="8" applyNumberFormat="1" applyFont="1" applyFill="1" applyAlignment="1">
      <alignment horizontal="center" vertical="center" wrapText="1"/>
    </xf>
    <xf numFmtId="0" fontId="14" fillId="2" borderId="0" xfId="0" applyFont="1" applyFill="1"/>
    <xf numFmtId="0" fontId="45" fillId="2" borderId="0" xfId="0" applyFont="1" applyFill="1" applyAlignment="1">
      <alignment horizontal="left" vertical="center" wrapText="1"/>
    </xf>
    <xf numFmtId="169" fontId="46" fillId="2" borderId="0" xfId="8" applyNumberFormat="1" applyFont="1" applyFill="1" applyAlignment="1">
      <alignment vertical="top" wrapText="1"/>
    </xf>
    <xf numFmtId="169" fontId="45" fillId="2" borderId="0" xfId="8" applyNumberFormat="1" applyFont="1" applyFill="1" applyAlignment="1">
      <alignment horizontal="center" vertical="center" wrapText="1"/>
    </xf>
    <xf numFmtId="169" fontId="47" fillId="2" borderId="0" xfId="8" applyNumberFormat="1" applyFont="1" applyFill="1" applyAlignment="1">
      <alignment vertical="center" wrapText="1"/>
    </xf>
    <xf numFmtId="169" fontId="38" fillId="2" borderId="0" xfId="8" applyNumberFormat="1" applyFont="1" applyFill="1" applyAlignment="1">
      <alignment vertical="center" wrapText="1"/>
    </xf>
    <xf numFmtId="0" fontId="45" fillId="2" borderId="0" xfId="0" applyFont="1" applyFill="1" applyAlignment="1">
      <alignment vertical="center" wrapText="1"/>
    </xf>
    <xf numFmtId="169" fontId="46" fillId="2" borderId="0" xfId="8" applyNumberFormat="1" applyFont="1" applyFill="1" applyBorder="1" applyAlignment="1">
      <alignment vertical="top" wrapText="1"/>
    </xf>
    <xf numFmtId="169" fontId="38" fillId="2" borderId="0" xfId="8" applyNumberFormat="1" applyFont="1" applyFill="1" applyBorder="1" applyAlignment="1">
      <alignment vertical="center" wrapText="1"/>
    </xf>
    <xf numFmtId="169" fontId="45" fillId="2" borderId="0" xfId="8" applyNumberFormat="1" applyFont="1" applyFill="1" applyBorder="1" applyAlignment="1">
      <alignment horizontal="center" vertical="center" wrapText="1"/>
    </xf>
    <xf numFmtId="169" fontId="45" fillId="2" borderId="4" xfId="8" applyNumberFormat="1" applyFont="1" applyFill="1" applyBorder="1" applyAlignment="1">
      <alignment horizontal="center" vertical="center" wrapText="1"/>
    </xf>
    <xf numFmtId="169" fontId="45" fillId="2" borderId="4" xfId="8" applyNumberFormat="1" applyFont="1" applyFill="1" applyBorder="1" applyAlignment="1">
      <alignment horizontal="left" vertical="center" wrapText="1" indent="3"/>
    </xf>
    <xf numFmtId="169" fontId="45" fillId="2" borderId="4" xfId="8" applyNumberFormat="1" applyFont="1" applyFill="1" applyBorder="1" applyAlignment="1">
      <alignment horizontal="left" vertical="center" wrapText="1" indent="4"/>
    </xf>
    <xf numFmtId="0" fontId="39" fillId="2" borderId="0" xfId="0" applyFont="1" applyFill="1" applyAlignment="1">
      <alignment vertical="center"/>
    </xf>
    <xf numFmtId="165" fontId="2" fillId="2" borderId="0" xfId="8" applyNumberFormat="1" applyFont="1" applyFill="1"/>
    <xf numFmtId="0" fontId="48" fillId="2" borderId="0" xfId="0" applyFont="1" applyFill="1"/>
    <xf numFmtId="0" fontId="46" fillId="2" borderId="0" xfId="0" applyFont="1" applyFill="1"/>
    <xf numFmtId="0" fontId="10" fillId="2" borderId="0" xfId="0" applyFont="1" applyFill="1" applyAlignment="1">
      <alignment horizontal="center"/>
    </xf>
    <xf numFmtId="0" fontId="1" fillId="2" borderId="0" xfId="0" applyFont="1" applyFill="1" applyBorder="1"/>
    <xf numFmtId="165" fontId="22" fillId="2" borderId="0" xfId="1" applyNumberFormat="1" applyFont="1" applyFill="1" applyBorder="1" applyAlignment="1">
      <alignment horizontal="center" vertical="center"/>
    </xf>
    <xf numFmtId="165" fontId="1" fillId="2" borderId="0" xfId="0" applyNumberFormat="1" applyFont="1" applyFill="1" applyBorder="1"/>
    <xf numFmtId="0" fontId="32" fillId="2" borderId="10" xfId="0" applyFont="1" applyFill="1" applyBorder="1" applyAlignment="1">
      <alignment horizontal="center" wrapText="1"/>
    </xf>
    <xf numFmtId="37" fontId="32" fillId="2" borderId="1" xfId="1" applyNumberFormat="1" applyFont="1" applyFill="1" applyBorder="1"/>
    <xf numFmtId="37" fontId="32" fillId="2" borderId="0" xfId="1" applyNumberFormat="1" applyFont="1" applyFill="1" applyBorder="1"/>
    <xf numFmtId="3" fontId="27" fillId="2" borderId="0" xfId="0" applyNumberFormat="1" applyFont="1" applyFill="1"/>
    <xf numFmtId="3" fontId="30" fillId="2" borderId="0" xfId="0" applyNumberFormat="1" applyFont="1" applyFill="1" applyAlignment="1">
      <alignment vertical="center"/>
    </xf>
    <xf numFmtId="3" fontId="31" fillId="2" borderId="0" xfId="0" applyNumberFormat="1" applyFont="1" applyFill="1" applyAlignment="1">
      <alignment vertical="center"/>
    </xf>
    <xf numFmtId="3" fontId="27" fillId="2" borderId="0" xfId="0" applyNumberFormat="1" applyFont="1" applyFill="1" applyAlignment="1">
      <alignment vertical="center"/>
    </xf>
    <xf numFmtId="3" fontId="31" fillId="2" borderId="0" xfId="0" applyNumberFormat="1" applyFont="1" applyFill="1" applyAlignment="1">
      <alignment vertical="center" wrapText="1"/>
    </xf>
    <xf numFmtId="3" fontId="27" fillId="2" borderId="0" xfId="0" applyNumberFormat="1" applyFont="1" applyFill="1" applyAlignment="1">
      <alignment vertical="center" wrapText="1"/>
    </xf>
    <xf numFmtId="3" fontId="30" fillId="2" borderId="0" xfId="0" applyNumberFormat="1" applyFont="1" applyFill="1" applyAlignment="1">
      <alignment vertical="center" wrapText="1"/>
    </xf>
    <xf numFmtId="3" fontId="27" fillId="2" borderId="0" xfId="1" applyNumberFormat="1" applyFont="1" applyFill="1"/>
    <xf numFmtId="3" fontId="27" fillId="2" borderId="0" xfId="0" applyNumberFormat="1" applyFont="1" applyFill="1" applyAlignment="1">
      <alignment horizontal="center"/>
    </xf>
    <xf numFmtId="3" fontId="32" fillId="2" borderId="0" xfId="0" applyNumberFormat="1" applyFont="1" applyFill="1"/>
    <xf numFmtId="3" fontId="32" fillId="2" borderId="1" xfId="1" applyNumberFormat="1" applyFont="1" applyFill="1" applyBorder="1"/>
    <xf numFmtId="3" fontId="32" fillId="2" borderId="0" xfId="1" applyNumberFormat="1" applyFont="1" applyFill="1"/>
    <xf numFmtId="3" fontId="32" fillId="2" borderId="0" xfId="1" applyNumberFormat="1" applyFont="1" applyFill="1" applyBorder="1"/>
    <xf numFmtId="3" fontId="27" fillId="2" borderId="0" xfId="1" applyNumberFormat="1" applyFont="1" applyFill="1" applyAlignment="1">
      <alignment horizontal="center"/>
    </xf>
    <xf numFmtId="3" fontId="35" fillId="2" borderId="0" xfId="1" applyNumberFormat="1" applyFont="1" applyFill="1" applyAlignment="1">
      <alignment horizontal="center" vertical="top"/>
    </xf>
    <xf numFmtId="3" fontId="32" fillId="2" borderId="10" xfId="0" applyNumberFormat="1" applyFont="1" applyFill="1" applyBorder="1" applyAlignment="1">
      <alignment horizontal="center" vertical="center" wrapText="1"/>
    </xf>
    <xf numFmtId="0" fontId="20" fillId="2" borderId="14" xfId="3" applyFont="1" applyFill="1" applyBorder="1" applyAlignment="1">
      <alignment horizontal="center"/>
    </xf>
    <xf numFmtId="0" fontId="57" fillId="2" borderId="0" xfId="0" applyFont="1" applyFill="1"/>
    <xf numFmtId="169" fontId="57" fillId="2" borderId="0" xfId="8" applyNumberFormat="1" applyFont="1" applyFill="1"/>
    <xf numFmtId="0" fontId="58" fillId="2" borderId="0" xfId="0" applyFont="1" applyFill="1" applyBorder="1" applyAlignment="1">
      <alignment vertical="center"/>
    </xf>
    <xf numFmtId="0" fontId="59" fillId="2" borderId="0" xfId="0" applyFont="1" applyFill="1"/>
    <xf numFmtId="0" fontId="25" fillId="2" borderId="0" xfId="0" applyFont="1" applyFill="1" applyAlignment="1">
      <alignment vertical="center"/>
    </xf>
    <xf numFmtId="0" fontId="62" fillId="2" borderId="0" xfId="0" applyFont="1" applyFill="1" applyAlignment="1">
      <alignment vertical="center"/>
    </xf>
    <xf numFmtId="167" fontId="64" fillId="2" borderId="0" xfId="0" applyNumberFormat="1" applyFont="1" applyFill="1" applyBorder="1" applyAlignment="1">
      <alignment horizontal="left" vertical="top" wrapText="1"/>
    </xf>
    <xf numFmtId="0" fontId="63" fillId="2" borderId="0" xfId="0" applyFont="1" applyFill="1" applyBorder="1" applyAlignment="1">
      <alignment horizontal="left" vertical="top" wrapText="1"/>
    </xf>
    <xf numFmtId="168" fontId="65" fillId="2" borderId="0" xfId="0" applyNumberFormat="1" applyFont="1" applyFill="1" applyBorder="1" applyAlignment="1">
      <alignment horizontal="left" vertical="top" wrapText="1"/>
    </xf>
    <xf numFmtId="0" fontId="66" fillId="2" borderId="0" xfId="0" applyFont="1" applyFill="1" applyBorder="1" applyAlignment="1">
      <alignment horizontal="left" vertical="top" wrapText="1"/>
    </xf>
    <xf numFmtId="0" fontId="53" fillId="2" borderId="0" xfId="0" applyFont="1" applyFill="1" applyBorder="1" applyAlignment="1">
      <alignment horizontal="left" vertical="top" wrapText="1"/>
    </xf>
    <xf numFmtId="0" fontId="63" fillId="2" borderId="0" xfId="0" applyFont="1" applyFill="1" applyBorder="1" applyAlignment="1">
      <alignment horizontal="left" vertical="center" wrapText="1"/>
    </xf>
    <xf numFmtId="0" fontId="53" fillId="2" borderId="0" xfId="0" applyFont="1" applyFill="1"/>
    <xf numFmtId="169" fontId="53" fillId="2" borderId="0" xfId="8" applyNumberFormat="1" applyFont="1" applyFill="1"/>
    <xf numFmtId="169" fontId="63" fillId="2" borderId="0" xfId="8" applyNumberFormat="1" applyFont="1" applyFill="1" applyBorder="1" applyAlignment="1">
      <alignment horizontal="center" vertical="center" wrapText="1"/>
    </xf>
    <xf numFmtId="0" fontId="63" fillId="2" borderId="0" xfId="0" applyFont="1" applyFill="1" applyBorder="1" applyAlignment="1">
      <alignment horizontal="center" vertical="center" wrapText="1"/>
    </xf>
    <xf numFmtId="0" fontId="31" fillId="2" borderId="0" xfId="0" applyFont="1" applyFill="1" applyAlignment="1">
      <alignment vertical="center"/>
    </xf>
    <xf numFmtId="0" fontId="27" fillId="2" borderId="0" xfId="0" applyFont="1" applyFill="1" applyAlignment="1">
      <alignment vertical="center"/>
    </xf>
    <xf numFmtId="4" fontId="27" fillId="2" borderId="0" xfId="0" applyNumberFormat="1" applyFont="1" applyFill="1"/>
    <xf numFmtId="0" fontId="32" fillId="2" borderId="0" xfId="0" applyFont="1" applyFill="1" applyAlignment="1">
      <alignment vertical="center" wrapText="1"/>
    </xf>
    <xf numFmtId="0" fontId="31" fillId="2" borderId="0" xfId="0" applyFont="1" applyFill="1" applyAlignment="1">
      <alignment vertical="center" wrapText="1"/>
    </xf>
    <xf numFmtId="0" fontId="33" fillId="2" borderId="0" xfId="0" applyFont="1" applyFill="1" applyAlignment="1">
      <alignment vertical="center"/>
    </xf>
    <xf numFmtId="0" fontId="10" fillId="2" borderId="0" xfId="0" applyFont="1" applyFill="1" applyAlignment="1"/>
    <xf numFmtId="39" fontId="0" fillId="2" borderId="0" xfId="0" applyNumberFormat="1" applyFill="1"/>
    <xf numFmtId="39" fontId="11" fillId="2" borderId="0" xfId="0" applyNumberFormat="1" applyFont="1" applyFill="1" applyAlignment="1">
      <alignment horizontal="left"/>
    </xf>
    <xf numFmtId="39" fontId="10" fillId="2" borderId="0" xfId="0" applyNumberFormat="1" applyFont="1" applyFill="1" applyAlignment="1">
      <alignment horizontal="left"/>
    </xf>
    <xf numFmtId="0" fontId="66" fillId="2" borderId="0" xfId="0" applyFont="1" applyFill="1" applyBorder="1" applyAlignment="1">
      <alignment vertical="top" wrapText="1"/>
    </xf>
    <xf numFmtId="4" fontId="51" fillId="2" borderId="0" xfId="13" applyNumberFormat="1" applyFont="1" applyFill="1" applyBorder="1" applyAlignment="1">
      <alignment horizontal="center"/>
    </xf>
    <xf numFmtId="0" fontId="8" fillId="2" borderId="0" xfId="0" applyFont="1" applyFill="1" applyBorder="1" applyAlignment="1">
      <alignment vertical="center"/>
    </xf>
    <xf numFmtId="165" fontId="2" fillId="2" borderId="0" xfId="1" applyNumberFormat="1" applyFont="1" applyFill="1" applyBorder="1"/>
    <xf numFmtId="3" fontId="63" fillId="2" borderId="0" xfId="8" applyNumberFormat="1" applyFont="1" applyFill="1" applyBorder="1" applyAlignment="1">
      <alignment horizontal="center" vertical="top" wrapText="1"/>
    </xf>
    <xf numFmtId="3" fontId="66" fillId="2" borderId="0" xfId="8" applyNumberFormat="1" applyFont="1" applyFill="1" applyBorder="1" applyAlignment="1">
      <alignment horizontal="center" vertical="top" wrapText="1"/>
    </xf>
    <xf numFmtId="3" fontId="45" fillId="2" borderId="0" xfId="8" applyNumberFormat="1" applyFont="1" applyFill="1" applyAlignment="1">
      <alignment horizontal="center" vertical="center"/>
    </xf>
    <xf numFmtId="3" fontId="63" fillId="2" borderId="13" xfId="8" applyNumberFormat="1" applyFont="1" applyFill="1" applyBorder="1" applyAlignment="1">
      <alignment horizontal="center" vertical="center" wrapText="1"/>
    </xf>
    <xf numFmtId="0" fontId="35" fillId="2" borderId="0" xfId="0" applyFont="1" applyFill="1" applyBorder="1" applyAlignment="1">
      <alignment horizontal="center"/>
    </xf>
    <xf numFmtId="3" fontId="31" fillId="2" borderId="0" xfId="0" applyNumberFormat="1" applyFont="1" applyFill="1" applyBorder="1" applyAlignment="1">
      <alignment horizontal="center" vertical="center"/>
    </xf>
    <xf numFmtId="3" fontId="32" fillId="2" borderId="0" xfId="0" applyNumberFormat="1" applyFont="1" applyFill="1" applyBorder="1" applyAlignment="1">
      <alignment horizontal="center"/>
    </xf>
    <xf numFmtId="0" fontId="27" fillId="2" borderId="0" xfId="0" applyFont="1" applyFill="1" applyBorder="1"/>
    <xf numFmtId="1" fontId="35" fillId="2" borderId="0" xfId="0" applyNumberFormat="1" applyFont="1" applyFill="1" applyAlignment="1">
      <alignment horizontal="center"/>
    </xf>
    <xf numFmtId="0" fontId="27" fillId="2" borderId="0" xfId="0" applyFont="1" applyFill="1" applyAlignment="1">
      <alignment horizontal="center"/>
    </xf>
    <xf numFmtId="43" fontId="32" fillId="2" borderId="0" xfId="1" applyFont="1" applyFill="1" applyAlignment="1">
      <alignment horizontal="center"/>
    </xf>
    <xf numFmtId="0" fontId="32" fillId="2" borderId="0" xfId="0" applyFont="1" applyFill="1" applyAlignment="1">
      <alignment horizontal="center"/>
    </xf>
    <xf numFmtId="37" fontId="32" fillId="2" borderId="1" xfId="1" applyNumberFormat="1" applyFont="1" applyFill="1" applyBorder="1" applyAlignment="1">
      <alignment horizontal="right"/>
    </xf>
    <xf numFmtId="0" fontId="32" fillId="2" borderId="15" xfId="0" applyFont="1" applyFill="1" applyBorder="1" applyAlignment="1">
      <alignment horizontal="center" wrapText="1"/>
    </xf>
    <xf numFmtId="43" fontId="27" fillId="2" borderId="0" xfId="1" applyFont="1" applyFill="1" applyAlignment="1">
      <alignment horizontal="center"/>
    </xf>
    <xf numFmtId="43" fontId="32" fillId="2" borderId="0" xfId="1" applyFont="1" applyFill="1" applyBorder="1"/>
    <xf numFmtId="43" fontId="32" fillId="2" borderId="0" xfId="1" applyFont="1" applyFill="1" applyBorder="1" applyAlignment="1">
      <alignment horizontal="center"/>
    </xf>
    <xf numFmtId="43" fontId="32" fillId="2" borderId="5" xfId="1" applyFont="1" applyFill="1" applyBorder="1" applyAlignment="1">
      <alignment horizontal="center"/>
    </xf>
    <xf numFmtId="43" fontId="27" fillId="2" borderId="0" xfId="1" applyFont="1" applyFill="1" applyBorder="1" applyAlignment="1">
      <alignment horizontal="center"/>
    </xf>
    <xf numFmtId="43" fontId="32" fillId="2" borderId="0" xfId="1" applyFont="1" applyFill="1" applyAlignment="1"/>
    <xf numFmtId="37" fontId="32" fillId="2" borderId="0" xfId="1" applyNumberFormat="1" applyFont="1" applyFill="1" applyBorder="1" applyAlignment="1">
      <alignment horizontal="right"/>
    </xf>
    <xf numFmtId="4" fontId="27" fillId="2" borderId="0" xfId="0" applyNumberFormat="1" applyFont="1" applyFill="1" applyAlignment="1">
      <alignment horizontal="left"/>
    </xf>
    <xf numFmtId="165" fontId="27" fillId="2" borderId="0" xfId="1" applyNumberFormat="1" applyFont="1" applyFill="1"/>
    <xf numFmtId="165" fontId="31" fillId="2" borderId="0" xfId="1" applyNumberFormat="1" applyFont="1" applyFill="1" applyAlignment="1">
      <alignment vertical="center"/>
    </xf>
    <xf numFmtId="165" fontId="27" fillId="2" borderId="0" xfId="1" applyNumberFormat="1" applyFont="1" applyFill="1" applyBorder="1"/>
    <xf numFmtId="165" fontId="35" fillId="2" borderId="0" xfId="0" applyNumberFormat="1" applyFont="1" applyFill="1" applyAlignment="1">
      <alignment horizontal="center"/>
    </xf>
    <xf numFmtId="165" fontId="27" fillId="2" borderId="0" xfId="1" applyNumberFormat="1" applyFont="1" applyFill="1" applyAlignment="1">
      <alignment horizontal="center" vertical="top"/>
    </xf>
    <xf numFmtId="165" fontId="27" fillId="2" borderId="0" xfId="1" applyNumberFormat="1" applyFont="1" applyFill="1" applyAlignment="1">
      <alignment horizontal="center"/>
    </xf>
    <xf numFmtId="165" fontId="35" fillId="2" borderId="0" xfId="1" applyNumberFormat="1" applyFont="1" applyFill="1" applyAlignment="1">
      <alignment horizontal="center" vertical="top"/>
    </xf>
    <xf numFmtId="165" fontId="35" fillId="2" borderId="0" xfId="1" applyNumberFormat="1" applyFont="1" applyFill="1" applyAlignment="1">
      <alignment horizontal="center"/>
    </xf>
    <xf numFmtId="165" fontId="35" fillId="2" borderId="1" xfId="1" applyNumberFormat="1" applyFont="1" applyFill="1" applyBorder="1" applyAlignment="1">
      <alignment horizontal="center"/>
    </xf>
    <xf numFmtId="165" fontId="32" fillId="2" borderId="1" xfId="1" applyNumberFormat="1" applyFont="1" applyFill="1" applyBorder="1" applyAlignment="1">
      <alignment horizontal="center"/>
    </xf>
    <xf numFmtId="165" fontId="32" fillId="2" borderId="10" xfId="1" applyNumberFormat="1" applyFont="1" applyFill="1" applyBorder="1" applyAlignment="1">
      <alignment horizontal="center" wrapText="1"/>
    </xf>
    <xf numFmtId="165" fontId="32" fillId="2" borderId="0" xfId="1" applyNumberFormat="1" applyFont="1" applyFill="1"/>
    <xf numFmtId="165" fontId="32" fillId="2" borderId="1" xfId="1" applyNumberFormat="1" applyFont="1" applyFill="1" applyBorder="1"/>
    <xf numFmtId="165" fontId="32" fillId="2" borderId="0" xfId="1" applyNumberFormat="1" applyFont="1" applyFill="1" applyBorder="1"/>
    <xf numFmtId="165" fontId="67" fillId="2" borderId="0" xfId="1" applyNumberFormat="1" applyFont="1" applyFill="1" applyBorder="1" applyAlignment="1">
      <alignment wrapText="1"/>
    </xf>
    <xf numFmtId="165" fontId="68" fillId="2" borderId="0" xfId="1" applyNumberFormat="1" applyFont="1" applyFill="1" applyBorder="1"/>
    <xf numFmtId="165" fontId="32" fillId="2" borderId="5" xfId="1" applyNumberFormat="1" applyFont="1" applyFill="1" applyBorder="1" applyAlignment="1">
      <alignment horizontal="center"/>
    </xf>
    <xf numFmtId="165" fontId="32" fillId="2" borderId="0" xfId="1" applyNumberFormat="1" applyFont="1" applyFill="1" applyBorder="1" applyAlignment="1">
      <alignment horizontal="center"/>
    </xf>
    <xf numFmtId="165" fontId="32" fillId="2" borderId="0" xfId="1" applyNumberFormat="1" applyFont="1" applyFill="1" applyAlignment="1">
      <alignment horizontal="center"/>
    </xf>
    <xf numFmtId="165" fontId="27" fillId="2" borderId="1" xfId="1" applyNumberFormat="1" applyFont="1" applyFill="1" applyBorder="1" applyAlignment="1">
      <alignment horizontal="center"/>
    </xf>
    <xf numFmtId="165" fontId="27" fillId="2" borderId="4" xfId="1" applyNumberFormat="1" applyFont="1" applyFill="1" applyBorder="1" applyAlignment="1">
      <alignment horizontal="center"/>
    </xf>
    <xf numFmtId="165" fontId="30" fillId="2" borderId="0" xfId="1" applyNumberFormat="1" applyFont="1" applyFill="1" applyAlignment="1">
      <alignment vertical="center"/>
    </xf>
    <xf numFmtId="165" fontId="32" fillId="2" borderId="0" xfId="1" applyNumberFormat="1" applyFont="1" applyFill="1" applyAlignment="1">
      <alignment vertical="center" wrapText="1"/>
    </xf>
    <xf numFmtId="165" fontId="27" fillId="2" borderId="0" xfId="1" applyNumberFormat="1" applyFont="1" applyFill="1" applyAlignment="1">
      <alignment horizontal="left"/>
    </xf>
    <xf numFmtId="165" fontId="31" fillId="2" borderId="0" xfId="1" applyNumberFormat="1" applyFont="1" applyFill="1" applyAlignment="1">
      <alignment horizontal="center" vertical="center"/>
    </xf>
    <xf numFmtId="165" fontId="33" fillId="2" borderId="8" xfId="1" applyNumberFormat="1" applyFont="1" applyFill="1" applyBorder="1" applyAlignment="1">
      <alignment horizontal="center" vertical="center"/>
    </xf>
    <xf numFmtId="165" fontId="36" fillId="2" borderId="0" xfId="0" applyNumberFormat="1" applyFont="1" applyFill="1" applyAlignment="1">
      <alignment horizontal="center"/>
    </xf>
    <xf numFmtId="1" fontId="35" fillId="2" borderId="0" xfId="0" applyNumberFormat="1" applyFont="1" applyFill="1" applyAlignment="1">
      <alignment horizontal="right"/>
    </xf>
    <xf numFmtId="165" fontId="27" fillId="2" borderId="5" xfId="1" applyNumberFormat="1" applyFont="1" applyFill="1" applyBorder="1"/>
    <xf numFmtId="0" fontId="31" fillId="2" borderId="0" xfId="0" applyFont="1" applyFill="1" applyAlignment="1">
      <alignment horizontal="left" vertical="center" wrapText="1"/>
    </xf>
    <xf numFmtId="0" fontId="31" fillId="2" borderId="0" xfId="0" applyFont="1" applyFill="1" applyAlignment="1">
      <alignment vertical="center" wrapText="1"/>
    </xf>
    <xf numFmtId="0" fontId="32" fillId="2" borderId="0" xfId="0" applyFont="1" applyFill="1" applyAlignment="1">
      <alignment horizontal="left" vertical="center" wrapText="1"/>
    </xf>
    <xf numFmtId="0" fontId="27" fillId="2" borderId="0" xfId="0" applyFont="1" applyFill="1" applyAlignment="1">
      <alignment horizontal="left" vertical="center" wrapText="1"/>
    </xf>
    <xf numFmtId="165" fontId="27" fillId="2" borderId="0" xfId="1" applyNumberFormat="1" applyFont="1" applyFill="1" applyAlignment="1">
      <alignment horizontal="right"/>
    </xf>
    <xf numFmtId="165" fontId="27" fillId="2" borderId="0" xfId="1" applyNumberFormat="1" applyFont="1" applyFill="1" applyAlignment="1"/>
    <xf numFmtId="165" fontId="35" fillId="2" borderId="0" xfId="1" applyNumberFormat="1" applyFont="1" applyFill="1" applyAlignment="1"/>
    <xf numFmtId="1" fontId="35" fillId="2" borderId="0" xfId="0" applyNumberFormat="1" applyFont="1" applyFill="1" applyAlignment="1"/>
    <xf numFmtId="3" fontId="27" fillId="2" borderId="0" xfId="1" applyNumberFormat="1" applyFont="1" applyFill="1" applyAlignment="1"/>
    <xf numFmtId="3" fontId="27" fillId="2" borderId="4" xfId="1" applyNumberFormat="1" applyFont="1" applyFill="1" applyBorder="1" applyAlignment="1"/>
    <xf numFmtId="3" fontId="32" fillId="2" borderId="1" xfId="1" applyNumberFormat="1" applyFont="1" applyFill="1" applyBorder="1" applyAlignment="1"/>
    <xf numFmtId="0" fontId="11" fillId="2" borderId="0" xfId="0" applyFont="1" applyFill="1" applyAlignment="1">
      <alignment horizontal="center"/>
    </xf>
    <xf numFmtId="0" fontId="61" fillId="2" borderId="0" xfId="2" applyFont="1" applyFill="1" applyAlignment="1">
      <alignment horizontal="center"/>
    </xf>
    <xf numFmtId="0" fontId="61" fillId="2" borderId="0" xfId="0" applyFont="1" applyFill="1" applyAlignment="1">
      <alignment horizontal="center"/>
    </xf>
    <xf numFmtId="0" fontId="61" fillId="2" borderId="2" xfId="3" applyFont="1" applyFill="1" applyAlignment="1">
      <alignment horizontal="center"/>
    </xf>
    <xf numFmtId="0" fontId="56" fillId="2" borderId="0" xfId="2" applyFont="1" applyFill="1" applyAlignment="1">
      <alignment horizontal="center"/>
    </xf>
    <xf numFmtId="0" fontId="56" fillId="2" borderId="0" xfId="3" applyFont="1" applyFill="1" applyBorder="1" applyAlignment="1">
      <alignment horizontal="center"/>
    </xf>
    <xf numFmtId="0" fontId="56" fillId="2" borderId="2" xfId="3" applyFont="1" applyFill="1" applyAlignment="1">
      <alignment horizontal="center"/>
    </xf>
    <xf numFmtId="0" fontId="10" fillId="2" borderId="0" xfId="0" applyFont="1" applyFill="1" applyAlignment="1">
      <alignment horizontal="center"/>
    </xf>
    <xf numFmtId="0" fontId="17" fillId="2" borderId="0" xfId="2" applyFont="1" applyFill="1" applyAlignment="1">
      <alignment horizontal="center"/>
    </xf>
    <xf numFmtId="0" fontId="61" fillId="2" borderId="0" xfId="3" applyFont="1" applyFill="1" applyBorder="1" applyAlignment="1">
      <alignment horizontal="center"/>
    </xf>
    <xf numFmtId="44" fontId="11" fillId="2" borderId="0" xfId="12" applyFont="1" applyFill="1" applyAlignment="1">
      <alignment horizontal="center"/>
    </xf>
    <xf numFmtId="0" fontId="43" fillId="2" borderId="0" xfId="0" applyFont="1" applyFill="1" applyAlignment="1">
      <alignment horizontal="center" vertical="center"/>
    </xf>
    <xf numFmtId="0" fontId="60" fillId="2" borderId="0" xfId="0" applyFont="1" applyFill="1" applyAlignment="1">
      <alignment horizontal="center" vertical="center"/>
    </xf>
    <xf numFmtId="0" fontId="63" fillId="2" borderId="0" xfId="0" applyFont="1" applyFill="1" applyBorder="1" applyAlignment="1">
      <alignment horizontal="left" vertical="center" wrapText="1"/>
    </xf>
    <xf numFmtId="0" fontId="58" fillId="2" borderId="0" xfId="0" applyFont="1" applyFill="1" applyBorder="1" applyAlignment="1">
      <alignment horizontal="center" vertical="center"/>
    </xf>
    <xf numFmtId="0" fontId="0" fillId="2" borderId="0" xfId="0" applyFill="1" applyBorder="1" applyAlignment="1">
      <alignment horizontal="center" vertical="top"/>
    </xf>
    <xf numFmtId="0" fontId="15"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27" fillId="2" borderId="0" xfId="0" applyFont="1" applyFill="1" applyAlignment="1">
      <alignment horizontal="left" vertical="top" wrapText="1"/>
    </xf>
    <xf numFmtId="0" fontId="31" fillId="2" borderId="0" xfId="0" applyFont="1" applyFill="1" applyAlignment="1">
      <alignment horizontal="left" vertical="center" wrapText="1"/>
    </xf>
    <xf numFmtId="0" fontId="31" fillId="2" borderId="0" xfId="0" applyFont="1" applyFill="1" applyAlignment="1">
      <alignment vertical="center" wrapText="1"/>
    </xf>
    <xf numFmtId="0" fontId="32" fillId="2" borderId="0" xfId="0" applyFont="1" applyFill="1" applyAlignment="1">
      <alignment vertical="center" wrapText="1"/>
    </xf>
    <xf numFmtId="0" fontId="32" fillId="2" borderId="0" xfId="0" applyFont="1" applyFill="1" applyAlignment="1">
      <alignment horizontal="left" vertical="center" wrapText="1"/>
    </xf>
    <xf numFmtId="0" fontId="27" fillId="2" borderId="0" xfId="0" applyFont="1" applyFill="1" applyAlignment="1">
      <alignment horizontal="center" vertical="center" wrapText="1"/>
    </xf>
    <xf numFmtId="0" fontId="33" fillId="2" borderId="0" xfId="0" applyFont="1" applyFill="1" applyAlignment="1">
      <alignment vertical="center"/>
    </xf>
    <xf numFmtId="0" fontId="54" fillId="2" borderId="0" xfId="2" applyFont="1" applyFill="1" applyAlignment="1">
      <alignment horizontal="center"/>
    </xf>
    <xf numFmtId="0" fontId="54" fillId="2" borderId="0" xfId="3" applyFont="1" applyFill="1" applyBorder="1" applyAlignment="1">
      <alignment horizontal="center"/>
    </xf>
    <xf numFmtId="0" fontId="55" fillId="2" borderId="0" xfId="3" applyFont="1" applyFill="1" applyBorder="1" applyAlignment="1">
      <alignment horizontal="center"/>
    </xf>
    <xf numFmtId="0" fontId="27" fillId="2" borderId="0" xfId="0" applyFont="1" applyFill="1" applyAlignment="1">
      <alignment horizontal="left" vertical="center" wrapText="1"/>
    </xf>
    <xf numFmtId="0" fontId="31" fillId="2" borderId="0" xfId="0" applyFont="1" applyFill="1" applyAlignment="1">
      <alignment horizontal="left" vertical="top" wrapText="1"/>
    </xf>
  </cellXfs>
  <cellStyles count="14">
    <cellStyle name="Encabezado 1" xfId="3" builtinId="16"/>
    <cellStyle name="Millares" xfId="1" builtinId="3"/>
    <cellStyle name="Millares 2 2" xfId="6"/>
    <cellStyle name="Millares 4" xfId="8"/>
    <cellStyle name="Millares 4 2" xfId="11"/>
    <cellStyle name="Millares 5" xfId="4"/>
    <cellStyle name="Millares 5 2" xfId="10"/>
    <cellStyle name="Moneda" xfId="12" builtinId="4"/>
    <cellStyle name="Normal" xfId="0" builtinId="0"/>
    <cellStyle name="Normal 3" xfId="9"/>
    <cellStyle name="Porcentaje" xfId="13" builtinId="5"/>
    <cellStyle name="Title 2" xfId="7"/>
    <cellStyle name="Título" xfId="2" builtinId="15"/>
    <cellStyle name="Título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3</xdr:col>
      <xdr:colOff>212724</xdr:colOff>
      <xdr:row>1</xdr:row>
      <xdr:rowOff>9525</xdr:rowOff>
    </xdr:from>
    <xdr:to>
      <xdr:col>4</xdr:col>
      <xdr:colOff>117625</xdr:colOff>
      <xdr:row>3</xdr:row>
      <xdr:rowOff>187326</xdr:rowOff>
    </xdr:to>
    <xdr:pic>
      <xdr:nvPicPr>
        <xdr:cNvPr id="5" name="Imagen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0974" y="200025"/>
          <a:ext cx="876451" cy="558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228598</xdr:colOff>
      <xdr:row>0</xdr:row>
      <xdr:rowOff>114300</xdr:rowOff>
    </xdr:from>
    <xdr:to>
      <xdr:col>1</xdr:col>
      <xdr:colOff>714279</xdr:colOff>
      <xdr:row>4</xdr:row>
      <xdr:rowOff>44450</xdr:rowOff>
    </xdr:to>
    <xdr:pic>
      <xdr:nvPicPr>
        <xdr:cNvPr id="6" name="image2.png">
          <a:extLst>
            <a:ext uri="{FF2B5EF4-FFF2-40B4-BE49-F238E27FC236}">
              <a16:creationId xmlns:a16="http://schemas.microsoft.com/office/drawing/2014/main" id="{00000000-0008-0000-0000-000006000000}"/>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8598" y="114300"/>
          <a:ext cx="780956" cy="69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1</xdr:col>
      <xdr:colOff>171451</xdr:colOff>
      <xdr:row>0</xdr:row>
      <xdr:rowOff>66675</xdr:rowOff>
    </xdr:from>
    <xdr:to>
      <xdr:col>1</xdr:col>
      <xdr:colOff>826077</xdr:colOff>
      <xdr:row>3</xdr:row>
      <xdr:rowOff>152400</xdr:rowOff>
    </xdr:to>
    <xdr:pic>
      <xdr:nvPicPr>
        <xdr:cNvPr id="2" name="image2.png">
          <a:extLst>
            <a:ext uri="{FF2B5EF4-FFF2-40B4-BE49-F238E27FC236}">
              <a16:creationId xmlns:a16="http://schemas.microsoft.com/office/drawing/2014/main" id="{108F97C1-2173-46B1-951A-98650269FFBC}"/>
            </a:ext>
          </a:extLst>
        </xdr:cNvPr>
        <xdr:cNvPicPr preferRelativeResize="0">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1" y="66675"/>
          <a:ext cx="654626"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oneCellAnchor>
    <xdr:from>
      <xdr:col>3</xdr:col>
      <xdr:colOff>114301</xdr:colOff>
      <xdr:row>0</xdr:row>
      <xdr:rowOff>190500</xdr:rowOff>
    </xdr:from>
    <xdr:ext cx="762000" cy="636494"/>
    <xdr:pic>
      <xdr:nvPicPr>
        <xdr:cNvPr id="3" name="Imagen 2">
          <a:extLst>
            <a:ext uri="{FF2B5EF4-FFF2-40B4-BE49-F238E27FC236}">
              <a16:creationId xmlns:a16="http://schemas.microsoft.com/office/drawing/2014/main" id="{0B762B1C-8FFE-4E2F-B25F-051FAEDBF18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24501" y="190500"/>
          <a:ext cx="762000" cy="636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247650</xdr:colOff>
      <xdr:row>0</xdr:row>
      <xdr:rowOff>0</xdr:rowOff>
    </xdr:from>
    <xdr:to>
      <xdr:col>4</xdr:col>
      <xdr:colOff>133350</xdr:colOff>
      <xdr:row>3</xdr:row>
      <xdr:rowOff>219075</xdr:rowOff>
    </xdr:to>
    <xdr:pic>
      <xdr:nvPicPr>
        <xdr:cNvPr id="4" name="Imagen 3">
          <a:extLst>
            <a:ext uri="{FF2B5EF4-FFF2-40B4-BE49-F238E27FC236}">
              <a16:creationId xmlns:a16="http://schemas.microsoft.com/office/drawing/2014/main" id="{5FEF371F-EB88-462D-8A2E-25AA42D0BD36}"/>
            </a:ext>
          </a:extLst>
        </xdr:cNvPr>
        <xdr:cNvPicPr>
          <a:picLocks noChangeAspect="1"/>
        </xdr:cNvPicPr>
      </xdr:nvPicPr>
      <xdr:blipFill>
        <a:blip xmlns:r="http://schemas.openxmlformats.org/officeDocument/2006/relationships" r:embed="rId1"/>
        <a:stretch>
          <a:fillRect/>
        </a:stretch>
      </xdr:blipFill>
      <xdr:spPr>
        <a:xfrm>
          <a:off x="247650" y="0"/>
          <a:ext cx="6162675" cy="8191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219075</xdr:colOff>
      <xdr:row>1</xdr:row>
      <xdr:rowOff>85725</xdr:rowOff>
    </xdr:from>
    <xdr:to>
      <xdr:col>6</xdr:col>
      <xdr:colOff>1261581</xdr:colOff>
      <xdr:row>5</xdr:row>
      <xdr:rowOff>30922</xdr:rowOff>
    </xdr:to>
    <xdr:pic>
      <xdr:nvPicPr>
        <xdr:cNvPr id="3" name="Imagen 2">
          <a:extLst>
            <a:ext uri="{FF2B5EF4-FFF2-40B4-BE49-F238E27FC236}">
              <a16:creationId xmlns:a16="http://schemas.microsoft.com/office/drawing/2014/main" id="{A866E867-B142-453D-8AD3-4D116F69EFE6}"/>
            </a:ext>
          </a:extLst>
        </xdr:cNvPr>
        <xdr:cNvPicPr>
          <a:picLocks noChangeAspect="1"/>
        </xdr:cNvPicPr>
      </xdr:nvPicPr>
      <xdr:blipFill>
        <a:blip xmlns:r="http://schemas.openxmlformats.org/officeDocument/2006/relationships" r:embed="rId1"/>
        <a:stretch>
          <a:fillRect/>
        </a:stretch>
      </xdr:blipFill>
      <xdr:spPr>
        <a:xfrm>
          <a:off x="8734425" y="276225"/>
          <a:ext cx="1042506" cy="707197"/>
        </a:xfrm>
        <a:prstGeom prst="rect">
          <a:avLst/>
        </a:prstGeom>
      </xdr:spPr>
    </xdr:pic>
    <xdr:clientData/>
  </xdr:twoCellAnchor>
  <xdr:twoCellAnchor editAs="oneCell">
    <xdr:from>
      <xdr:col>1</xdr:col>
      <xdr:colOff>219075</xdr:colOff>
      <xdr:row>0</xdr:row>
      <xdr:rowOff>152400</xdr:rowOff>
    </xdr:from>
    <xdr:to>
      <xdr:col>1</xdr:col>
      <xdr:colOff>993334</xdr:colOff>
      <xdr:row>4</xdr:row>
      <xdr:rowOff>115887</xdr:rowOff>
    </xdr:to>
    <xdr:pic>
      <xdr:nvPicPr>
        <xdr:cNvPr id="6" name="Imagen 5">
          <a:extLst>
            <a:ext uri="{FF2B5EF4-FFF2-40B4-BE49-F238E27FC236}">
              <a16:creationId xmlns:a16="http://schemas.microsoft.com/office/drawing/2014/main" id="{BD3FC020-A77A-4902-B47F-E211D50C6E82}"/>
            </a:ext>
          </a:extLst>
        </xdr:cNvPr>
        <xdr:cNvPicPr>
          <a:picLocks noChangeAspect="1"/>
        </xdr:cNvPicPr>
      </xdr:nvPicPr>
      <xdr:blipFill>
        <a:blip xmlns:r="http://schemas.openxmlformats.org/officeDocument/2006/relationships" r:embed="rId2"/>
        <a:stretch>
          <a:fillRect/>
        </a:stretch>
      </xdr:blipFill>
      <xdr:spPr>
        <a:xfrm>
          <a:off x="733425" y="152400"/>
          <a:ext cx="774259" cy="72548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142875</xdr:colOff>
      <xdr:row>0</xdr:row>
      <xdr:rowOff>19049</xdr:rowOff>
    </xdr:from>
    <xdr:to>
      <xdr:col>2</xdr:col>
      <xdr:colOff>695325</xdr:colOff>
      <xdr:row>3</xdr:row>
      <xdr:rowOff>187522</xdr:rowOff>
    </xdr:to>
    <xdr:pic>
      <xdr:nvPicPr>
        <xdr:cNvPr id="2" name="Imagen 1">
          <a:extLst>
            <a:ext uri="{FF2B5EF4-FFF2-40B4-BE49-F238E27FC236}">
              <a16:creationId xmlns:a16="http://schemas.microsoft.com/office/drawing/2014/main" id="{3B084928-21A9-42F3-B2CA-70048660AEE4}"/>
            </a:ext>
          </a:extLst>
        </xdr:cNvPr>
        <xdr:cNvPicPr>
          <a:picLocks noChangeAspect="1"/>
        </xdr:cNvPicPr>
      </xdr:nvPicPr>
      <xdr:blipFill>
        <a:blip xmlns:r="http://schemas.openxmlformats.org/officeDocument/2006/relationships" r:embed="rId1"/>
        <a:stretch>
          <a:fillRect/>
        </a:stretch>
      </xdr:blipFill>
      <xdr:spPr>
        <a:xfrm>
          <a:off x="381000" y="19049"/>
          <a:ext cx="838200" cy="739973"/>
        </a:xfrm>
        <a:prstGeom prst="rect">
          <a:avLst/>
        </a:prstGeom>
      </xdr:spPr>
    </xdr:pic>
    <xdr:clientData/>
  </xdr:twoCellAnchor>
  <xdr:twoCellAnchor editAs="oneCell">
    <xdr:from>
      <xdr:col>6</xdr:col>
      <xdr:colOff>190500</xdr:colOff>
      <xdr:row>0</xdr:row>
      <xdr:rowOff>152400</xdr:rowOff>
    </xdr:from>
    <xdr:to>
      <xdr:col>6</xdr:col>
      <xdr:colOff>1238250</xdr:colOff>
      <xdr:row>4</xdr:row>
      <xdr:rowOff>57150</xdr:rowOff>
    </xdr:to>
    <xdr:pic>
      <xdr:nvPicPr>
        <xdr:cNvPr id="3" name="Imagen 2">
          <a:extLst>
            <a:ext uri="{FF2B5EF4-FFF2-40B4-BE49-F238E27FC236}">
              <a16:creationId xmlns:a16="http://schemas.microsoft.com/office/drawing/2014/main" id="{F33A0539-0220-4998-ACF7-3932ABEA80A7}"/>
            </a:ext>
          </a:extLst>
        </xdr:cNvPr>
        <xdr:cNvPicPr>
          <a:picLocks noChangeAspect="1"/>
        </xdr:cNvPicPr>
      </xdr:nvPicPr>
      <xdr:blipFill>
        <a:blip xmlns:r="http://schemas.openxmlformats.org/officeDocument/2006/relationships" r:embed="rId2"/>
        <a:stretch>
          <a:fillRect/>
        </a:stretch>
      </xdr:blipFill>
      <xdr:spPr>
        <a:xfrm>
          <a:off x="6657975" y="152400"/>
          <a:ext cx="1047750" cy="6667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1076326</xdr:colOff>
      <xdr:row>0</xdr:row>
      <xdr:rowOff>0</xdr:rowOff>
    </xdr:from>
    <xdr:to>
      <xdr:col>4</xdr:col>
      <xdr:colOff>257175</xdr:colOff>
      <xdr:row>5</xdr:row>
      <xdr:rowOff>71725</xdr:rowOff>
    </xdr:to>
    <xdr:pic>
      <xdr:nvPicPr>
        <xdr:cNvPr id="4" name="Imagen 3">
          <a:extLst>
            <a:ext uri="{FF2B5EF4-FFF2-40B4-BE49-F238E27FC236}">
              <a16:creationId xmlns:a16="http://schemas.microsoft.com/office/drawing/2014/main" id="{C9E3565D-2775-402D-B839-352C18EDF002}"/>
            </a:ext>
          </a:extLst>
        </xdr:cNvPr>
        <xdr:cNvPicPr>
          <a:picLocks noChangeAspect="1"/>
        </xdr:cNvPicPr>
      </xdr:nvPicPr>
      <xdr:blipFill>
        <a:blip xmlns:r="http://schemas.openxmlformats.org/officeDocument/2006/relationships" r:embed="rId1"/>
        <a:stretch>
          <a:fillRect/>
        </a:stretch>
      </xdr:blipFill>
      <xdr:spPr>
        <a:xfrm>
          <a:off x="3295651" y="0"/>
          <a:ext cx="1438274" cy="10242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abilidad%20y%20Finanzas/CONTABILIDAD-FINANZAS/MERCEDES%20%202023/cierre%2031-12-2023/cierre%20fiscal%2031-12-2023/ESTADO%20DE%20FLUJO%20DE%20EFECTIVO%20%20S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UJO DE EFECTIVO"/>
    </sheetNames>
    <sheetDataSet>
      <sheetData sheetId="0">
        <row r="63">
          <cell r="C63">
            <v>154683954</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F41"/>
  <sheetViews>
    <sheetView workbookViewId="0">
      <selection activeCell="B38" sqref="B38"/>
    </sheetView>
  </sheetViews>
  <sheetFormatPr baseColWidth="10" defaultColWidth="9.140625" defaultRowHeight="15" x14ac:dyDescent="0.25"/>
  <cols>
    <col min="1" max="1" width="5.7109375" style="21" customWidth="1"/>
    <col min="2" max="2" width="53" style="22" customWidth="1"/>
    <col min="3" max="3" width="16" style="21" customWidth="1"/>
    <col min="4" max="4" width="14.5703125" style="21" customWidth="1"/>
    <col min="5" max="5" width="12.7109375" style="21" customWidth="1"/>
    <col min="6" max="6" width="16.28515625" style="21" customWidth="1"/>
    <col min="7" max="247" width="9.140625" style="21"/>
    <col min="248" max="248" width="3.140625" style="21" customWidth="1"/>
    <col min="249" max="249" width="56.28515625" style="21" customWidth="1"/>
    <col min="250" max="250" width="16" style="21" customWidth="1"/>
    <col min="251" max="251" width="1.85546875" style="21" customWidth="1"/>
    <col min="252" max="252" width="14.5703125" style="21" customWidth="1"/>
    <col min="253" max="253" width="9.140625" style="21"/>
    <col min="254" max="254" width="13.85546875" style="21" bestFit="1" customWidth="1"/>
    <col min="255" max="503" width="9.140625" style="21"/>
    <col min="504" max="504" width="3.140625" style="21" customWidth="1"/>
    <col min="505" max="505" width="56.28515625" style="21" customWidth="1"/>
    <col min="506" max="506" width="16" style="21" customWidth="1"/>
    <col min="507" max="507" width="1.85546875" style="21" customWidth="1"/>
    <col min="508" max="508" width="14.5703125" style="21" customWidth="1"/>
    <col min="509" max="509" width="9.140625" style="21"/>
    <col min="510" max="510" width="13.85546875" style="21" bestFit="1" customWidth="1"/>
    <col min="511" max="759" width="9.140625" style="21"/>
    <col min="760" max="760" width="3.140625" style="21" customWidth="1"/>
    <col min="761" max="761" width="56.28515625" style="21" customWidth="1"/>
    <col min="762" max="762" width="16" style="21" customWidth="1"/>
    <col min="763" max="763" width="1.85546875" style="21" customWidth="1"/>
    <col min="764" max="764" width="14.5703125" style="21" customWidth="1"/>
    <col min="765" max="765" width="9.140625" style="21"/>
    <col min="766" max="766" width="13.85546875" style="21" bestFit="1" customWidth="1"/>
    <col min="767" max="1015" width="9.140625" style="21"/>
    <col min="1016" max="1016" width="3.140625" style="21" customWidth="1"/>
    <col min="1017" max="1017" width="56.28515625" style="21" customWidth="1"/>
    <col min="1018" max="1018" width="16" style="21" customWidth="1"/>
    <col min="1019" max="1019" width="1.85546875" style="21" customWidth="1"/>
    <col min="1020" max="1020" width="14.5703125" style="21" customWidth="1"/>
    <col min="1021" max="1021" width="9.140625" style="21"/>
    <col min="1022" max="1022" width="13.85546875" style="21" bestFit="1" customWidth="1"/>
    <col min="1023" max="1271" width="9.140625" style="21"/>
    <col min="1272" max="1272" width="3.140625" style="21" customWidth="1"/>
    <col min="1273" max="1273" width="56.28515625" style="21" customWidth="1"/>
    <col min="1274" max="1274" width="16" style="21" customWidth="1"/>
    <col min="1275" max="1275" width="1.85546875" style="21" customWidth="1"/>
    <col min="1276" max="1276" width="14.5703125" style="21" customWidth="1"/>
    <col min="1277" max="1277" width="9.140625" style="21"/>
    <col min="1278" max="1278" width="13.85546875" style="21" bestFit="1" customWidth="1"/>
    <col min="1279" max="1527" width="9.140625" style="21"/>
    <col min="1528" max="1528" width="3.140625" style="21" customWidth="1"/>
    <col min="1529" max="1529" width="56.28515625" style="21" customWidth="1"/>
    <col min="1530" max="1530" width="16" style="21" customWidth="1"/>
    <col min="1531" max="1531" width="1.85546875" style="21" customWidth="1"/>
    <col min="1532" max="1532" width="14.5703125" style="21" customWidth="1"/>
    <col min="1533" max="1533" width="9.140625" style="21"/>
    <col min="1534" max="1534" width="13.85546875" style="21" bestFit="1" customWidth="1"/>
    <col min="1535" max="1783" width="9.140625" style="21"/>
    <col min="1784" max="1784" width="3.140625" style="21" customWidth="1"/>
    <col min="1785" max="1785" width="56.28515625" style="21" customWidth="1"/>
    <col min="1786" max="1786" width="16" style="21" customWidth="1"/>
    <col min="1787" max="1787" width="1.85546875" style="21" customWidth="1"/>
    <col min="1788" max="1788" width="14.5703125" style="21" customWidth="1"/>
    <col min="1789" max="1789" width="9.140625" style="21"/>
    <col min="1790" max="1790" width="13.85546875" style="21" bestFit="1" customWidth="1"/>
    <col min="1791" max="2039" width="9.140625" style="21"/>
    <col min="2040" max="2040" width="3.140625" style="21" customWidth="1"/>
    <col min="2041" max="2041" width="56.28515625" style="21" customWidth="1"/>
    <col min="2042" max="2042" width="16" style="21" customWidth="1"/>
    <col min="2043" max="2043" width="1.85546875" style="21" customWidth="1"/>
    <col min="2044" max="2044" width="14.5703125" style="21" customWidth="1"/>
    <col min="2045" max="2045" width="9.140625" style="21"/>
    <col min="2046" max="2046" width="13.85546875" style="21" bestFit="1" customWidth="1"/>
    <col min="2047" max="2295" width="9.140625" style="21"/>
    <col min="2296" max="2296" width="3.140625" style="21" customWidth="1"/>
    <col min="2297" max="2297" width="56.28515625" style="21" customWidth="1"/>
    <col min="2298" max="2298" width="16" style="21" customWidth="1"/>
    <col min="2299" max="2299" width="1.85546875" style="21" customWidth="1"/>
    <col min="2300" max="2300" width="14.5703125" style="21" customWidth="1"/>
    <col min="2301" max="2301" width="9.140625" style="21"/>
    <col min="2302" max="2302" width="13.85546875" style="21" bestFit="1" customWidth="1"/>
    <col min="2303" max="2551" width="9.140625" style="21"/>
    <col min="2552" max="2552" width="3.140625" style="21" customWidth="1"/>
    <col min="2553" max="2553" width="56.28515625" style="21" customWidth="1"/>
    <col min="2554" max="2554" width="16" style="21" customWidth="1"/>
    <col min="2555" max="2555" width="1.85546875" style="21" customWidth="1"/>
    <col min="2556" max="2556" width="14.5703125" style="21" customWidth="1"/>
    <col min="2557" max="2557" width="9.140625" style="21"/>
    <col min="2558" max="2558" width="13.85546875" style="21" bestFit="1" customWidth="1"/>
    <col min="2559" max="2807" width="9.140625" style="21"/>
    <col min="2808" max="2808" width="3.140625" style="21" customWidth="1"/>
    <col min="2809" max="2809" width="56.28515625" style="21" customWidth="1"/>
    <col min="2810" max="2810" width="16" style="21" customWidth="1"/>
    <col min="2811" max="2811" width="1.85546875" style="21" customWidth="1"/>
    <col min="2812" max="2812" width="14.5703125" style="21" customWidth="1"/>
    <col min="2813" max="2813" width="9.140625" style="21"/>
    <col min="2814" max="2814" width="13.85546875" style="21" bestFit="1" customWidth="1"/>
    <col min="2815" max="3063" width="9.140625" style="21"/>
    <col min="3064" max="3064" width="3.140625" style="21" customWidth="1"/>
    <col min="3065" max="3065" width="56.28515625" style="21" customWidth="1"/>
    <col min="3066" max="3066" width="16" style="21" customWidth="1"/>
    <col min="3067" max="3067" width="1.85546875" style="21" customWidth="1"/>
    <col min="3068" max="3068" width="14.5703125" style="21" customWidth="1"/>
    <col min="3069" max="3069" width="9.140625" style="21"/>
    <col min="3070" max="3070" width="13.85546875" style="21" bestFit="1" customWidth="1"/>
    <col min="3071" max="3319" width="9.140625" style="21"/>
    <col min="3320" max="3320" width="3.140625" style="21" customWidth="1"/>
    <col min="3321" max="3321" width="56.28515625" style="21" customWidth="1"/>
    <col min="3322" max="3322" width="16" style="21" customWidth="1"/>
    <col min="3323" max="3323" width="1.85546875" style="21" customWidth="1"/>
    <col min="3324" max="3324" width="14.5703125" style="21" customWidth="1"/>
    <col min="3325" max="3325" width="9.140625" style="21"/>
    <col min="3326" max="3326" width="13.85546875" style="21" bestFit="1" customWidth="1"/>
    <col min="3327" max="3575" width="9.140625" style="21"/>
    <col min="3576" max="3576" width="3.140625" style="21" customWidth="1"/>
    <col min="3577" max="3577" width="56.28515625" style="21" customWidth="1"/>
    <col min="3578" max="3578" width="16" style="21" customWidth="1"/>
    <col min="3579" max="3579" width="1.85546875" style="21" customWidth="1"/>
    <col min="3580" max="3580" width="14.5703125" style="21" customWidth="1"/>
    <col min="3581" max="3581" width="9.140625" style="21"/>
    <col min="3582" max="3582" width="13.85546875" style="21" bestFit="1" customWidth="1"/>
    <col min="3583" max="3831" width="9.140625" style="21"/>
    <col min="3832" max="3832" width="3.140625" style="21" customWidth="1"/>
    <col min="3833" max="3833" width="56.28515625" style="21" customWidth="1"/>
    <col min="3834" max="3834" width="16" style="21" customWidth="1"/>
    <col min="3835" max="3835" width="1.85546875" style="21" customWidth="1"/>
    <col min="3836" max="3836" width="14.5703125" style="21" customWidth="1"/>
    <col min="3837" max="3837" width="9.140625" style="21"/>
    <col min="3838" max="3838" width="13.85546875" style="21" bestFit="1" customWidth="1"/>
    <col min="3839" max="4087" width="9.140625" style="21"/>
    <col min="4088" max="4088" width="3.140625" style="21" customWidth="1"/>
    <col min="4089" max="4089" width="56.28515625" style="21" customWidth="1"/>
    <col min="4090" max="4090" width="16" style="21" customWidth="1"/>
    <col min="4091" max="4091" width="1.85546875" style="21" customWidth="1"/>
    <col min="4092" max="4092" width="14.5703125" style="21" customWidth="1"/>
    <col min="4093" max="4093" width="9.140625" style="21"/>
    <col min="4094" max="4094" width="13.85546875" style="21" bestFit="1" customWidth="1"/>
    <col min="4095" max="4343" width="9.140625" style="21"/>
    <col min="4344" max="4344" width="3.140625" style="21" customWidth="1"/>
    <col min="4345" max="4345" width="56.28515625" style="21" customWidth="1"/>
    <col min="4346" max="4346" width="16" style="21" customWidth="1"/>
    <col min="4347" max="4347" width="1.85546875" style="21" customWidth="1"/>
    <col min="4348" max="4348" width="14.5703125" style="21" customWidth="1"/>
    <col min="4349" max="4349" width="9.140625" style="21"/>
    <col min="4350" max="4350" width="13.85546875" style="21" bestFit="1" customWidth="1"/>
    <col min="4351" max="4599" width="9.140625" style="21"/>
    <col min="4600" max="4600" width="3.140625" style="21" customWidth="1"/>
    <col min="4601" max="4601" width="56.28515625" style="21" customWidth="1"/>
    <col min="4602" max="4602" width="16" style="21" customWidth="1"/>
    <col min="4603" max="4603" width="1.85546875" style="21" customWidth="1"/>
    <col min="4604" max="4604" width="14.5703125" style="21" customWidth="1"/>
    <col min="4605" max="4605" width="9.140625" style="21"/>
    <col min="4606" max="4606" width="13.85546875" style="21" bestFit="1" customWidth="1"/>
    <col min="4607" max="4855" width="9.140625" style="21"/>
    <col min="4856" max="4856" width="3.140625" style="21" customWidth="1"/>
    <col min="4857" max="4857" width="56.28515625" style="21" customWidth="1"/>
    <col min="4858" max="4858" width="16" style="21" customWidth="1"/>
    <col min="4859" max="4859" width="1.85546875" style="21" customWidth="1"/>
    <col min="4860" max="4860" width="14.5703125" style="21" customWidth="1"/>
    <col min="4861" max="4861" width="9.140625" style="21"/>
    <col min="4862" max="4862" width="13.85546875" style="21" bestFit="1" customWidth="1"/>
    <col min="4863" max="5111" width="9.140625" style="21"/>
    <col min="5112" max="5112" width="3.140625" style="21" customWidth="1"/>
    <col min="5113" max="5113" width="56.28515625" style="21" customWidth="1"/>
    <col min="5114" max="5114" width="16" style="21" customWidth="1"/>
    <col min="5115" max="5115" width="1.85546875" style="21" customWidth="1"/>
    <col min="5116" max="5116" width="14.5703125" style="21" customWidth="1"/>
    <col min="5117" max="5117" width="9.140625" style="21"/>
    <col min="5118" max="5118" width="13.85546875" style="21" bestFit="1" customWidth="1"/>
    <col min="5119" max="5367" width="9.140625" style="21"/>
    <col min="5368" max="5368" width="3.140625" style="21" customWidth="1"/>
    <col min="5369" max="5369" width="56.28515625" style="21" customWidth="1"/>
    <col min="5370" max="5370" width="16" style="21" customWidth="1"/>
    <col min="5371" max="5371" width="1.85546875" style="21" customWidth="1"/>
    <col min="5372" max="5372" width="14.5703125" style="21" customWidth="1"/>
    <col min="5373" max="5373" width="9.140625" style="21"/>
    <col min="5374" max="5374" width="13.85546875" style="21" bestFit="1" customWidth="1"/>
    <col min="5375" max="5623" width="9.140625" style="21"/>
    <col min="5624" max="5624" width="3.140625" style="21" customWidth="1"/>
    <col min="5625" max="5625" width="56.28515625" style="21" customWidth="1"/>
    <col min="5626" max="5626" width="16" style="21" customWidth="1"/>
    <col min="5627" max="5627" width="1.85546875" style="21" customWidth="1"/>
    <col min="5628" max="5628" width="14.5703125" style="21" customWidth="1"/>
    <col min="5629" max="5629" width="9.140625" style="21"/>
    <col min="5630" max="5630" width="13.85546875" style="21" bestFit="1" customWidth="1"/>
    <col min="5631" max="5879" width="9.140625" style="21"/>
    <col min="5880" max="5880" width="3.140625" style="21" customWidth="1"/>
    <col min="5881" max="5881" width="56.28515625" style="21" customWidth="1"/>
    <col min="5882" max="5882" width="16" style="21" customWidth="1"/>
    <col min="5883" max="5883" width="1.85546875" style="21" customWidth="1"/>
    <col min="5884" max="5884" width="14.5703125" style="21" customWidth="1"/>
    <col min="5885" max="5885" width="9.140625" style="21"/>
    <col min="5886" max="5886" width="13.85546875" style="21" bestFit="1" customWidth="1"/>
    <col min="5887" max="6135" width="9.140625" style="21"/>
    <col min="6136" max="6136" width="3.140625" style="21" customWidth="1"/>
    <col min="6137" max="6137" width="56.28515625" style="21" customWidth="1"/>
    <col min="6138" max="6138" width="16" style="21" customWidth="1"/>
    <col min="6139" max="6139" width="1.85546875" style="21" customWidth="1"/>
    <col min="6140" max="6140" width="14.5703125" style="21" customWidth="1"/>
    <col min="6141" max="6141" width="9.140625" style="21"/>
    <col min="6142" max="6142" width="13.85546875" style="21" bestFit="1" customWidth="1"/>
    <col min="6143" max="6391" width="9.140625" style="21"/>
    <col min="6392" max="6392" width="3.140625" style="21" customWidth="1"/>
    <col min="6393" max="6393" width="56.28515625" style="21" customWidth="1"/>
    <col min="6394" max="6394" width="16" style="21" customWidth="1"/>
    <col min="6395" max="6395" width="1.85546875" style="21" customWidth="1"/>
    <col min="6396" max="6396" width="14.5703125" style="21" customWidth="1"/>
    <col min="6397" max="6397" width="9.140625" style="21"/>
    <col min="6398" max="6398" width="13.85546875" style="21" bestFit="1" customWidth="1"/>
    <col min="6399" max="6647" width="9.140625" style="21"/>
    <col min="6648" max="6648" width="3.140625" style="21" customWidth="1"/>
    <col min="6649" max="6649" width="56.28515625" style="21" customWidth="1"/>
    <col min="6650" max="6650" width="16" style="21" customWidth="1"/>
    <col min="6651" max="6651" width="1.85546875" style="21" customWidth="1"/>
    <col min="6652" max="6652" width="14.5703125" style="21" customWidth="1"/>
    <col min="6653" max="6653" width="9.140625" style="21"/>
    <col min="6654" max="6654" width="13.85546875" style="21" bestFit="1" customWidth="1"/>
    <col min="6655" max="6903" width="9.140625" style="21"/>
    <col min="6904" max="6904" width="3.140625" style="21" customWidth="1"/>
    <col min="6905" max="6905" width="56.28515625" style="21" customWidth="1"/>
    <col min="6906" max="6906" width="16" style="21" customWidth="1"/>
    <col min="6907" max="6907" width="1.85546875" style="21" customWidth="1"/>
    <col min="6908" max="6908" width="14.5703125" style="21" customWidth="1"/>
    <col min="6909" max="6909" width="9.140625" style="21"/>
    <col min="6910" max="6910" width="13.85546875" style="21" bestFit="1" customWidth="1"/>
    <col min="6911" max="7159" width="9.140625" style="21"/>
    <col min="7160" max="7160" width="3.140625" style="21" customWidth="1"/>
    <col min="7161" max="7161" width="56.28515625" style="21" customWidth="1"/>
    <col min="7162" max="7162" width="16" style="21" customWidth="1"/>
    <col min="7163" max="7163" width="1.85546875" style="21" customWidth="1"/>
    <col min="7164" max="7164" width="14.5703125" style="21" customWidth="1"/>
    <col min="7165" max="7165" width="9.140625" style="21"/>
    <col min="7166" max="7166" width="13.85546875" style="21" bestFit="1" customWidth="1"/>
    <col min="7167" max="7415" width="9.140625" style="21"/>
    <col min="7416" max="7416" width="3.140625" style="21" customWidth="1"/>
    <col min="7417" max="7417" width="56.28515625" style="21" customWidth="1"/>
    <col min="7418" max="7418" width="16" style="21" customWidth="1"/>
    <col min="7419" max="7419" width="1.85546875" style="21" customWidth="1"/>
    <col min="7420" max="7420" width="14.5703125" style="21" customWidth="1"/>
    <col min="7421" max="7421" width="9.140625" style="21"/>
    <col min="7422" max="7422" width="13.85546875" style="21" bestFit="1" customWidth="1"/>
    <col min="7423" max="7671" width="9.140625" style="21"/>
    <col min="7672" max="7672" width="3.140625" style="21" customWidth="1"/>
    <col min="7673" max="7673" width="56.28515625" style="21" customWidth="1"/>
    <col min="7674" max="7674" width="16" style="21" customWidth="1"/>
    <col min="7675" max="7675" width="1.85546875" style="21" customWidth="1"/>
    <col min="7676" max="7676" width="14.5703125" style="21" customWidth="1"/>
    <col min="7677" max="7677" width="9.140625" style="21"/>
    <col min="7678" max="7678" width="13.85546875" style="21" bestFit="1" customWidth="1"/>
    <col min="7679" max="7927" width="9.140625" style="21"/>
    <col min="7928" max="7928" width="3.140625" style="21" customWidth="1"/>
    <col min="7929" max="7929" width="56.28515625" style="21" customWidth="1"/>
    <col min="7930" max="7930" width="16" style="21" customWidth="1"/>
    <col min="7931" max="7931" width="1.85546875" style="21" customWidth="1"/>
    <col min="7932" max="7932" width="14.5703125" style="21" customWidth="1"/>
    <col min="7933" max="7933" width="9.140625" style="21"/>
    <col min="7934" max="7934" width="13.85546875" style="21" bestFit="1" customWidth="1"/>
    <col min="7935" max="8183" width="9.140625" style="21"/>
    <col min="8184" max="8184" width="3.140625" style="21" customWidth="1"/>
    <col min="8185" max="8185" width="56.28515625" style="21" customWidth="1"/>
    <col min="8186" max="8186" width="16" style="21" customWidth="1"/>
    <col min="8187" max="8187" width="1.85546875" style="21" customWidth="1"/>
    <col min="8188" max="8188" width="14.5703125" style="21" customWidth="1"/>
    <col min="8189" max="8189" width="9.140625" style="21"/>
    <col min="8190" max="8190" width="13.85546875" style="21" bestFit="1" customWidth="1"/>
    <col min="8191" max="8439" width="9.140625" style="21"/>
    <col min="8440" max="8440" width="3.140625" style="21" customWidth="1"/>
    <col min="8441" max="8441" width="56.28515625" style="21" customWidth="1"/>
    <col min="8442" max="8442" width="16" style="21" customWidth="1"/>
    <col min="8443" max="8443" width="1.85546875" style="21" customWidth="1"/>
    <col min="8444" max="8444" width="14.5703125" style="21" customWidth="1"/>
    <col min="8445" max="8445" width="9.140625" style="21"/>
    <col min="8446" max="8446" width="13.85546875" style="21" bestFit="1" customWidth="1"/>
    <col min="8447" max="8695" width="9.140625" style="21"/>
    <col min="8696" max="8696" width="3.140625" style="21" customWidth="1"/>
    <col min="8697" max="8697" width="56.28515625" style="21" customWidth="1"/>
    <col min="8698" max="8698" width="16" style="21" customWidth="1"/>
    <col min="8699" max="8699" width="1.85546875" style="21" customWidth="1"/>
    <col min="8700" max="8700" width="14.5703125" style="21" customWidth="1"/>
    <col min="8701" max="8701" width="9.140625" style="21"/>
    <col min="8702" max="8702" width="13.85546875" style="21" bestFit="1" customWidth="1"/>
    <col min="8703" max="8951" width="9.140625" style="21"/>
    <col min="8952" max="8952" width="3.140625" style="21" customWidth="1"/>
    <col min="8953" max="8953" width="56.28515625" style="21" customWidth="1"/>
    <col min="8954" max="8954" width="16" style="21" customWidth="1"/>
    <col min="8955" max="8955" width="1.85546875" style="21" customWidth="1"/>
    <col min="8956" max="8956" width="14.5703125" style="21" customWidth="1"/>
    <col min="8957" max="8957" width="9.140625" style="21"/>
    <col min="8958" max="8958" width="13.85546875" style="21" bestFit="1" customWidth="1"/>
    <col min="8959" max="9207" width="9.140625" style="21"/>
    <col min="9208" max="9208" width="3.140625" style="21" customWidth="1"/>
    <col min="9209" max="9209" width="56.28515625" style="21" customWidth="1"/>
    <col min="9210" max="9210" width="16" style="21" customWidth="1"/>
    <col min="9211" max="9211" width="1.85546875" style="21" customWidth="1"/>
    <col min="9212" max="9212" width="14.5703125" style="21" customWidth="1"/>
    <col min="9213" max="9213" width="9.140625" style="21"/>
    <col min="9214" max="9214" width="13.85546875" style="21" bestFit="1" customWidth="1"/>
    <col min="9215" max="9463" width="9.140625" style="21"/>
    <col min="9464" max="9464" width="3.140625" style="21" customWidth="1"/>
    <col min="9465" max="9465" width="56.28515625" style="21" customWidth="1"/>
    <col min="9466" max="9466" width="16" style="21" customWidth="1"/>
    <col min="9467" max="9467" width="1.85546875" style="21" customWidth="1"/>
    <col min="9468" max="9468" width="14.5703125" style="21" customWidth="1"/>
    <col min="9469" max="9469" width="9.140625" style="21"/>
    <col min="9470" max="9470" width="13.85546875" style="21" bestFit="1" customWidth="1"/>
    <col min="9471" max="9719" width="9.140625" style="21"/>
    <col min="9720" max="9720" width="3.140625" style="21" customWidth="1"/>
    <col min="9721" max="9721" width="56.28515625" style="21" customWidth="1"/>
    <col min="9722" max="9722" width="16" style="21" customWidth="1"/>
    <col min="9723" max="9723" width="1.85546875" style="21" customWidth="1"/>
    <col min="9724" max="9724" width="14.5703125" style="21" customWidth="1"/>
    <col min="9725" max="9725" width="9.140625" style="21"/>
    <col min="9726" max="9726" width="13.85546875" style="21" bestFit="1" customWidth="1"/>
    <col min="9727" max="9975" width="9.140625" style="21"/>
    <col min="9976" max="9976" width="3.140625" style="21" customWidth="1"/>
    <col min="9977" max="9977" width="56.28515625" style="21" customWidth="1"/>
    <col min="9978" max="9978" width="16" style="21" customWidth="1"/>
    <col min="9979" max="9979" width="1.85546875" style="21" customWidth="1"/>
    <col min="9980" max="9980" width="14.5703125" style="21" customWidth="1"/>
    <col min="9981" max="9981" width="9.140625" style="21"/>
    <col min="9982" max="9982" width="13.85546875" style="21" bestFit="1" customWidth="1"/>
    <col min="9983" max="10231" width="9.140625" style="21"/>
    <col min="10232" max="10232" width="3.140625" style="21" customWidth="1"/>
    <col min="10233" max="10233" width="56.28515625" style="21" customWidth="1"/>
    <col min="10234" max="10234" width="16" style="21" customWidth="1"/>
    <col min="10235" max="10235" width="1.85546875" style="21" customWidth="1"/>
    <col min="10236" max="10236" width="14.5703125" style="21" customWidth="1"/>
    <col min="10237" max="10237" width="9.140625" style="21"/>
    <col min="10238" max="10238" width="13.85546875" style="21" bestFit="1" customWidth="1"/>
    <col min="10239" max="10487" width="9.140625" style="21"/>
    <col min="10488" max="10488" width="3.140625" style="21" customWidth="1"/>
    <col min="10489" max="10489" width="56.28515625" style="21" customWidth="1"/>
    <col min="10490" max="10490" width="16" style="21" customWidth="1"/>
    <col min="10491" max="10491" width="1.85546875" style="21" customWidth="1"/>
    <col min="10492" max="10492" width="14.5703125" style="21" customWidth="1"/>
    <col min="10493" max="10493" width="9.140625" style="21"/>
    <col min="10494" max="10494" width="13.85546875" style="21" bestFit="1" customWidth="1"/>
    <col min="10495" max="10743" width="9.140625" style="21"/>
    <col min="10744" max="10744" width="3.140625" style="21" customWidth="1"/>
    <col min="10745" max="10745" width="56.28515625" style="21" customWidth="1"/>
    <col min="10746" max="10746" width="16" style="21" customWidth="1"/>
    <col min="10747" max="10747" width="1.85546875" style="21" customWidth="1"/>
    <col min="10748" max="10748" width="14.5703125" style="21" customWidth="1"/>
    <col min="10749" max="10749" width="9.140625" style="21"/>
    <col min="10750" max="10750" width="13.85546875" style="21" bestFit="1" customWidth="1"/>
    <col min="10751" max="10999" width="9.140625" style="21"/>
    <col min="11000" max="11000" width="3.140625" style="21" customWidth="1"/>
    <col min="11001" max="11001" width="56.28515625" style="21" customWidth="1"/>
    <col min="11002" max="11002" width="16" style="21" customWidth="1"/>
    <col min="11003" max="11003" width="1.85546875" style="21" customWidth="1"/>
    <col min="11004" max="11004" width="14.5703125" style="21" customWidth="1"/>
    <col min="11005" max="11005" width="9.140625" style="21"/>
    <col min="11006" max="11006" width="13.85546875" style="21" bestFit="1" customWidth="1"/>
    <col min="11007" max="11255" width="9.140625" style="21"/>
    <col min="11256" max="11256" width="3.140625" style="21" customWidth="1"/>
    <col min="11257" max="11257" width="56.28515625" style="21" customWidth="1"/>
    <col min="11258" max="11258" width="16" style="21" customWidth="1"/>
    <col min="11259" max="11259" width="1.85546875" style="21" customWidth="1"/>
    <col min="11260" max="11260" width="14.5703125" style="21" customWidth="1"/>
    <col min="11261" max="11261" width="9.140625" style="21"/>
    <col min="11262" max="11262" width="13.85546875" style="21" bestFit="1" customWidth="1"/>
    <col min="11263" max="11511" width="9.140625" style="21"/>
    <col min="11512" max="11512" width="3.140625" style="21" customWidth="1"/>
    <col min="11513" max="11513" width="56.28515625" style="21" customWidth="1"/>
    <col min="11514" max="11514" width="16" style="21" customWidth="1"/>
    <col min="11515" max="11515" width="1.85546875" style="21" customWidth="1"/>
    <col min="11516" max="11516" width="14.5703125" style="21" customWidth="1"/>
    <col min="11517" max="11517" width="9.140625" style="21"/>
    <col min="11518" max="11518" width="13.85546875" style="21" bestFit="1" customWidth="1"/>
    <col min="11519" max="11767" width="9.140625" style="21"/>
    <col min="11768" max="11768" width="3.140625" style="21" customWidth="1"/>
    <col min="11769" max="11769" width="56.28515625" style="21" customWidth="1"/>
    <col min="11770" max="11770" width="16" style="21" customWidth="1"/>
    <col min="11771" max="11771" width="1.85546875" style="21" customWidth="1"/>
    <col min="11772" max="11772" width="14.5703125" style="21" customWidth="1"/>
    <col min="11773" max="11773" width="9.140625" style="21"/>
    <col min="11774" max="11774" width="13.85546875" style="21" bestFit="1" customWidth="1"/>
    <col min="11775" max="12023" width="9.140625" style="21"/>
    <col min="12024" max="12024" width="3.140625" style="21" customWidth="1"/>
    <col min="12025" max="12025" width="56.28515625" style="21" customWidth="1"/>
    <col min="12026" max="12026" width="16" style="21" customWidth="1"/>
    <col min="12027" max="12027" width="1.85546875" style="21" customWidth="1"/>
    <col min="12028" max="12028" width="14.5703125" style="21" customWidth="1"/>
    <col min="12029" max="12029" width="9.140625" style="21"/>
    <col min="12030" max="12030" width="13.85546875" style="21" bestFit="1" customWidth="1"/>
    <col min="12031" max="12279" width="9.140625" style="21"/>
    <col min="12280" max="12280" width="3.140625" style="21" customWidth="1"/>
    <col min="12281" max="12281" width="56.28515625" style="21" customWidth="1"/>
    <col min="12282" max="12282" width="16" style="21" customWidth="1"/>
    <col min="12283" max="12283" width="1.85546875" style="21" customWidth="1"/>
    <col min="12284" max="12284" width="14.5703125" style="21" customWidth="1"/>
    <col min="12285" max="12285" width="9.140625" style="21"/>
    <col min="12286" max="12286" width="13.85546875" style="21" bestFit="1" customWidth="1"/>
    <col min="12287" max="12535" width="9.140625" style="21"/>
    <col min="12536" max="12536" width="3.140625" style="21" customWidth="1"/>
    <col min="12537" max="12537" width="56.28515625" style="21" customWidth="1"/>
    <col min="12538" max="12538" width="16" style="21" customWidth="1"/>
    <col min="12539" max="12539" width="1.85546875" style="21" customWidth="1"/>
    <col min="12540" max="12540" width="14.5703125" style="21" customWidth="1"/>
    <col min="12541" max="12541" width="9.140625" style="21"/>
    <col min="12542" max="12542" width="13.85546875" style="21" bestFit="1" customWidth="1"/>
    <col min="12543" max="12791" width="9.140625" style="21"/>
    <col min="12792" max="12792" width="3.140625" style="21" customWidth="1"/>
    <col min="12793" max="12793" width="56.28515625" style="21" customWidth="1"/>
    <col min="12794" max="12794" width="16" style="21" customWidth="1"/>
    <col min="12795" max="12795" width="1.85546875" style="21" customWidth="1"/>
    <col min="12796" max="12796" width="14.5703125" style="21" customWidth="1"/>
    <col min="12797" max="12797" width="9.140625" style="21"/>
    <col min="12798" max="12798" width="13.85546875" style="21" bestFit="1" customWidth="1"/>
    <col min="12799" max="13047" width="9.140625" style="21"/>
    <col min="13048" max="13048" width="3.140625" style="21" customWidth="1"/>
    <col min="13049" max="13049" width="56.28515625" style="21" customWidth="1"/>
    <col min="13050" max="13050" width="16" style="21" customWidth="1"/>
    <col min="13051" max="13051" width="1.85546875" style="21" customWidth="1"/>
    <col min="13052" max="13052" width="14.5703125" style="21" customWidth="1"/>
    <col min="13053" max="13053" width="9.140625" style="21"/>
    <col min="13054" max="13054" width="13.85546875" style="21" bestFit="1" customWidth="1"/>
    <col min="13055" max="13303" width="9.140625" style="21"/>
    <col min="13304" max="13304" width="3.140625" style="21" customWidth="1"/>
    <col min="13305" max="13305" width="56.28515625" style="21" customWidth="1"/>
    <col min="13306" max="13306" width="16" style="21" customWidth="1"/>
    <col min="13307" max="13307" width="1.85546875" style="21" customWidth="1"/>
    <col min="13308" max="13308" width="14.5703125" style="21" customWidth="1"/>
    <col min="13309" max="13309" width="9.140625" style="21"/>
    <col min="13310" max="13310" width="13.85546875" style="21" bestFit="1" customWidth="1"/>
    <col min="13311" max="13559" width="9.140625" style="21"/>
    <col min="13560" max="13560" width="3.140625" style="21" customWidth="1"/>
    <col min="13561" max="13561" width="56.28515625" style="21" customWidth="1"/>
    <col min="13562" max="13562" width="16" style="21" customWidth="1"/>
    <col min="13563" max="13563" width="1.85546875" style="21" customWidth="1"/>
    <col min="13564" max="13564" width="14.5703125" style="21" customWidth="1"/>
    <col min="13565" max="13565" width="9.140625" style="21"/>
    <col min="13566" max="13566" width="13.85546875" style="21" bestFit="1" customWidth="1"/>
    <col min="13567" max="13815" width="9.140625" style="21"/>
    <col min="13816" max="13816" width="3.140625" style="21" customWidth="1"/>
    <col min="13817" max="13817" width="56.28515625" style="21" customWidth="1"/>
    <col min="13818" max="13818" width="16" style="21" customWidth="1"/>
    <col min="13819" max="13819" width="1.85546875" style="21" customWidth="1"/>
    <col min="13820" max="13820" width="14.5703125" style="21" customWidth="1"/>
    <col min="13821" max="13821" width="9.140625" style="21"/>
    <col min="13822" max="13822" width="13.85546875" style="21" bestFit="1" customWidth="1"/>
    <col min="13823" max="14071" width="9.140625" style="21"/>
    <col min="14072" max="14072" width="3.140625" style="21" customWidth="1"/>
    <col min="14073" max="14073" width="56.28515625" style="21" customWidth="1"/>
    <col min="14074" max="14074" width="16" style="21" customWidth="1"/>
    <col min="14075" max="14075" width="1.85546875" style="21" customWidth="1"/>
    <col min="14076" max="14076" width="14.5703125" style="21" customWidth="1"/>
    <col min="14077" max="14077" width="9.140625" style="21"/>
    <col min="14078" max="14078" width="13.85546875" style="21" bestFit="1" customWidth="1"/>
    <col min="14079" max="14327" width="9.140625" style="21"/>
    <col min="14328" max="14328" width="3.140625" style="21" customWidth="1"/>
    <col min="14329" max="14329" width="56.28515625" style="21" customWidth="1"/>
    <col min="14330" max="14330" width="16" style="21" customWidth="1"/>
    <col min="14331" max="14331" width="1.85546875" style="21" customWidth="1"/>
    <col min="14332" max="14332" width="14.5703125" style="21" customWidth="1"/>
    <col min="14333" max="14333" width="9.140625" style="21"/>
    <col min="14334" max="14334" width="13.85546875" style="21" bestFit="1" customWidth="1"/>
    <col min="14335" max="14583" width="9.140625" style="21"/>
    <col min="14584" max="14584" width="3.140625" style="21" customWidth="1"/>
    <col min="14585" max="14585" width="56.28515625" style="21" customWidth="1"/>
    <col min="14586" max="14586" width="16" style="21" customWidth="1"/>
    <col min="14587" max="14587" width="1.85546875" style="21" customWidth="1"/>
    <col min="14588" max="14588" width="14.5703125" style="21" customWidth="1"/>
    <col min="14589" max="14589" width="9.140625" style="21"/>
    <col min="14590" max="14590" width="13.85546875" style="21" bestFit="1" customWidth="1"/>
    <col min="14591" max="14839" width="9.140625" style="21"/>
    <col min="14840" max="14840" width="3.140625" style="21" customWidth="1"/>
    <col min="14841" max="14841" width="56.28515625" style="21" customWidth="1"/>
    <col min="14842" max="14842" width="16" style="21" customWidth="1"/>
    <col min="14843" max="14843" width="1.85546875" style="21" customWidth="1"/>
    <col min="14844" max="14844" width="14.5703125" style="21" customWidth="1"/>
    <col min="14845" max="14845" width="9.140625" style="21"/>
    <col min="14846" max="14846" width="13.85546875" style="21" bestFit="1" customWidth="1"/>
    <col min="14847" max="15095" width="9.140625" style="21"/>
    <col min="15096" max="15096" width="3.140625" style="21" customWidth="1"/>
    <col min="15097" max="15097" width="56.28515625" style="21" customWidth="1"/>
    <col min="15098" max="15098" width="16" style="21" customWidth="1"/>
    <col min="15099" max="15099" width="1.85546875" style="21" customWidth="1"/>
    <col min="15100" max="15100" width="14.5703125" style="21" customWidth="1"/>
    <col min="15101" max="15101" width="9.140625" style="21"/>
    <col min="15102" max="15102" width="13.85546875" style="21" bestFit="1" customWidth="1"/>
    <col min="15103" max="15351" width="9.140625" style="21"/>
    <col min="15352" max="15352" width="3.140625" style="21" customWidth="1"/>
    <col min="15353" max="15353" width="56.28515625" style="21" customWidth="1"/>
    <col min="15354" max="15354" width="16" style="21" customWidth="1"/>
    <col min="15355" max="15355" width="1.85546875" style="21" customWidth="1"/>
    <col min="15356" max="15356" width="14.5703125" style="21" customWidth="1"/>
    <col min="15357" max="15357" width="9.140625" style="21"/>
    <col min="15358" max="15358" width="13.85546875" style="21" bestFit="1" customWidth="1"/>
    <col min="15359" max="15607" width="9.140625" style="21"/>
    <col min="15608" max="15608" width="3.140625" style="21" customWidth="1"/>
    <col min="15609" max="15609" width="56.28515625" style="21" customWidth="1"/>
    <col min="15610" max="15610" width="16" style="21" customWidth="1"/>
    <col min="15611" max="15611" width="1.85546875" style="21" customWidth="1"/>
    <col min="15612" max="15612" width="14.5703125" style="21" customWidth="1"/>
    <col min="15613" max="15613" width="9.140625" style="21"/>
    <col min="15614" max="15614" width="13.85546875" style="21" bestFit="1" customWidth="1"/>
    <col min="15615" max="15863" width="9.140625" style="21"/>
    <col min="15864" max="15864" width="3.140625" style="21" customWidth="1"/>
    <col min="15865" max="15865" width="56.28515625" style="21" customWidth="1"/>
    <col min="15866" max="15866" width="16" style="21" customWidth="1"/>
    <col min="15867" max="15867" width="1.85546875" style="21" customWidth="1"/>
    <col min="15868" max="15868" width="14.5703125" style="21" customWidth="1"/>
    <col min="15869" max="15869" width="9.140625" style="21"/>
    <col min="15870" max="15870" width="13.85546875" style="21" bestFit="1" customWidth="1"/>
    <col min="15871" max="16119" width="9.140625" style="21"/>
    <col min="16120" max="16120" width="3.140625" style="21" customWidth="1"/>
    <col min="16121" max="16121" width="56.28515625" style="21" customWidth="1"/>
    <col min="16122" max="16122" width="16" style="21" customWidth="1"/>
    <col min="16123" max="16123" width="1.85546875" style="21" customWidth="1"/>
    <col min="16124" max="16124" width="14.5703125" style="21" customWidth="1"/>
    <col min="16125" max="16125" width="9.140625" style="21"/>
    <col min="16126" max="16126" width="13.85546875" style="21" bestFit="1" customWidth="1"/>
    <col min="16127" max="16384" width="9.140625" style="21"/>
  </cols>
  <sheetData>
    <row r="5" spans="2:5" ht="15.75" x14ac:dyDescent="0.25">
      <c r="B5" s="244" t="s">
        <v>0</v>
      </c>
      <c r="C5" s="244"/>
      <c r="D5" s="244"/>
    </row>
    <row r="6" spans="2:5" ht="15.75" x14ac:dyDescent="0.25">
      <c r="B6" s="244" t="s">
        <v>1</v>
      </c>
      <c r="C6" s="244"/>
      <c r="D6" s="244"/>
    </row>
    <row r="7" spans="2:5" ht="15.75" x14ac:dyDescent="0.25">
      <c r="B7" s="245" t="s">
        <v>5</v>
      </c>
      <c r="C7" s="245"/>
      <c r="D7" s="245"/>
    </row>
    <row r="8" spans="2:5" ht="15.75" x14ac:dyDescent="0.25">
      <c r="B8" s="245" t="s">
        <v>21</v>
      </c>
      <c r="C8" s="245"/>
      <c r="D8" s="245"/>
    </row>
    <row r="9" spans="2:5" ht="16.5" thickBot="1" x14ac:dyDescent="0.3">
      <c r="B9" s="246" t="s">
        <v>20</v>
      </c>
      <c r="C9" s="246"/>
      <c r="D9" s="246"/>
    </row>
    <row r="10" spans="2:5" ht="15.75" thickTop="1" x14ac:dyDescent="0.25"/>
    <row r="12" spans="2:5" ht="15.75" x14ac:dyDescent="0.25">
      <c r="B12" s="155" t="s">
        <v>3</v>
      </c>
      <c r="C12" s="24">
        <v>2023</v>
      </c>
      <c r="D12" s="24">
        <v>2022</v>
      </c>
    </row>
    <row r="13" spans="2:5" ht="15.75" customHeight="1" x14ac:dyDescent="0.25">
      <c r="B13" s="155" t="s">
        <v>6</v>
      </c>
      <c r="C13" s="25" t="s">
        <v>2</v>
      </c>
      <c r="D13" s="25" t="s">
        <v>2</v>
      </c>
    </row>
    <row r="14" spans="2:5" ht="15.75" x14ac:dyDescent="0.25">
      <c r="B14" s="26" t="s">
        <v>19</v>
      </c>
      <c r="C14" s="27">
        <v>288326008.5</v>
      </c>
      <c r="D14" s="27">
        <v>241397943</v>
      </c>
      <c r="E14" s="38"/>
    </row>
    <row r="15" spans="2:5" ht="15.75" x14ac:dyDescent="0.25">
      <c r="B15" s="26" t="s">
        <v>16</v>
      </c>
      <c r="C15" s="28">
        <v>1525000</v>
      </c>
      <c r="D15" s="28">
        <v>334548</v>
      </c>
    </row>
    <row r="16" spans="2:5" ht="15.75" x14ac:dyDescent="0.25">
      <c r="C16" s="29">
        <f>SUM(C14:C15)</f>
        <v>289851008.5</v>
      </c>
      <c r="D16" s="29">
        <f>SUM(D14:D15)</f>
        <v>241732491</v>
      </c>
    </row>
    <row r="17" spans="2:6" ht="15.75" x14ac:dyDescent="0.25">
      <c r="C17" s="29"/>
      <c r="D17" s="29"/>
    </row>
    <row r="18" spans="2:6" ht="15.75" x14ac:dyDescent="0.25">
      <c r="B18" s="30"/>
      <c r="C18" s="31"/>
      <c r="D18" s="31"/>
    </row>
    <row r="19" spans="2:6" ht="15.75" x14ac:dyDescent="0.25">
      <c r="B19" s="155" t="s">
        <v>7</v>
      </c>
      <c r="C19" s="31"/>
      <c r="D19" s="31"/>
    </row>
    <row r="20" spans="2:6" ht="15.75" x14ac:dyDescent="0.25">
      <c r="B20" s="26" t="s">
        <v>11</v>
      </c>
      <c r="C20" s="32">
        <v>-75444704.670000002</v>
      </c>
      <c r="D20" s="32">
        <v>-88275356.530000001</v>
      </c>
      <c r="E20" s="80"/>
    </row>
    <row r="21" spans="2:6" ht="15.75" x14ac:dyDescent="0.25">
      <c r="B21" s="26" t="s">
        <v>12</v>
      </c>
      <c r="C21" s="32">
        <v>-132838800</v>
      </c>
      <c r="D21" s="32">
        <v>-88262033.549999997</v>
      </c>
      <c r="E21" s="80"/>
    </row>
    <row r="22" spans="2:6" ht="15.75" x14ac:dyDescent="0.25">
      <c r="B22" s="26" t="s">
        <v>13</v>
      </c>
      <c r="C22" s="32">
        <f>-'Notas Explicativas'!E290</f>
        <v>-5466444.0000000009</v>
      </c>
      <c r="D22" s="32">
        <v>-5895177.9100000001</v>
      </c>
      <c r="E22" s="80"/>
    </row>
    <row r="23" spans="2:6" ht="15.75" x14ac:dyDescent="0.25">
      <c r="B23" s="26" t="s">
        <v>14</v>
      </c>
      <c r="C23" s="32">
        <v>-3726818</v>
      </c>
      <c r="D23" s="32">
        <v>-3304287</v>
      </c>
      <c r="E23" s="80"/>
    </row>
    <row r="24" spans="2:6" ht="15.75" x14ac:dyDescent="0.25">
      <c r="B24" s="33" t="s">
        <v>15</v>
      </c>
      <c r="C24" s="27">
        <f>-'Notas Explicativas'!E343</f>
        <v>-23009653.719999999</v>
      </c>
      <c r="D24" s="27">
        <f>-15310704.61-4772198.94</f>
        <v>-20082903.550000001</v>
      </c>
      <c r="E24" s="80"/>
      <c r="F24" s="79"/>
    </row>
    <row r="25" spans="2:6" ht="16.5" thickBot="1" x14ac:dyDescent="0.3">
      <c r="B25" s="33" t="s">
        <v>17</v>
      </c>
      <c r="C25" s="34">
        <f>-'Notas Explicativas'!E353</f>
        <v>-16056.54</v>
      </c>
      <c r="D25" s="34">
        <v>-28866</v>
      </c>
      <c r="E25" s="80"/>
      <c r="F25" s="79"/>
    </row>
    <row r="26" spans="2:6" ht="16.5" thickBot="1" x14ac:dyDescent="0.3">
      <c r="B26" s="155" t="s">
        <v>8</v>
      </c>
      <c r="C26" s="35">
        <f>SUM(C19:C25)</f>
        <v>-240502476.93000001</v>
      </c>
      <c r="D26" s="35">
        <f>SUM(D20:D25)</f>
        <v>-205848624.53999999</v>
      </c>
      <c r="E26" s="79"/>
      <c r="F26" s="79"/>
    </row>
    <row r="27" spans="2:6" ht="15.75" x14ac:dyDescent="0.25">
      <c r="B27" s="23"/>
      <c r="C27" s="36"/>
      <c r="D27" s="36"/>
      <c r="E27" s="79"/>
      <c r="F27" s="79"/>
    </row>
    <row r="28" spans="2:6" ht="15.75" x14ac:dyDescent="0.25">
      <c r="B28" s="33" t="s">
        <v>18</v>
      </c>
      <c r="C28" s="32"/>
      <c r="D28" s="32"/>
      <c r="E28" s="79"/>
      <c r="F28" s="79"/>
    </row>
    <row r="29" spans="2:6" x14ac:dyDescent="0.25">
      <c r="B29" s="26"/>
      <c r="E29" s="79"/>
      <c r="F29" s="79"/>
    </row>
    <row r="30" spans="2:6" ht="15.75" customHeight="1" thickBot="1" x14ac:dyDescent="0.3">
      <c r="B30" s="155" t="s">
        <v>9</v>
      </c>
      <c r="C30" s="37">
        <f>C16+C26</f>
        <v>49348531.569999993</v>
      </c>
      <c r="D30" s="37">
        <f>D16+D26</f>
        <v>35883866.460000008</v>
      </c>
      <c r="E30" s="79"/>
      <c r="F30" s="79"/>
    </row>
    <row r="31" spans="2:6" ht="16.5" thickTop="1" x14ac:dyDescent="0.25">
      <c r="C31" s="38"/>
      <c r="D31" s="39"/>
      <c r="E31" s="79"/>
      <c r="F31" s="79"/>
    </row>
    <row r="32" spans="2:6" x14ac:dyDescent="0.25">
      <c r="E32" s="79"/>
      <c r="F32" s="79"/>
    </row>
    <row r="33" spans="2:6" x14ac:dyDescent="0.25">
      <c r="E33" s="79"/>
      <c r="F33" s="79"/>
    </row>
    <row r="34" spans="2:6" x14ac:dyDescent="0.25">
      <c r="F34" s="79"/>
    </row>
    <row r="35" spans="2:6" ht="18.75" x14ac:dyDescent="0.3">
      <c r="B35" s="99" t="s">
        <v>359</v>
      </c>
      <c r="C35" s="41" t="s">
        <v>360</v>
      </c>
      <c r="D35" s="42"/>
    </row>
    <row r="36" spans="2:6" ht="18.75" x14ac:dyDescent="0.3">
      <c r="B36" s="43" t="s">
        <v>22</v>
      </c>
      <c r="C36" s="42" t="s">
        <v>302</v>
      </c>
      <c r="D36" s="41"/>
      <c r="F36" s="79"/>
    </row>
    <row r="37" spans="2:6" ht="18.75" x14ac:dyDescent="0.3">
      <c r="B37" s="44"/>
      <c r="C37" s="44"/>
      <c r="F37" s="79"/>
    </row>
    <row r="38" spans="2:6" ht="24.75" customHeight="1" x14ac:dyDescent="0.3">
      <c r="B38" s="44"/>
      <c r="C38" s="44"/>
      <c r="F38" s="79"/>
    </row>
    <row r="39" spans="2:6" ht="18.75" x14ac:dyDescent="0.3">
      <c r="B39" s="40" t="s">
        <v>10</v>
      </c>
      <c r="C39" s="243" t="s">
        <v>361</v>
      </c>
      <c r="D39" s="243"/>
      <c r="F39" s="79"/>
    </row>
    <row r="40" spans="2:6" ht="18.75" x14ac:dyDescent="0.3">
      <c r="B40" s="43" t="s">
        <v>23</v>
      </c>
      <c r="C40" s="42" t="s">
        <v>303</v>
      </c>
      <c r="D40" s="22"/>
    </row>
    <row r="41" spans="2:6" x14ac:dyDescent="0.25">
      <c r="B41" s="21"/>
    </row>
  </sheetData>
  <mergeCells count="6">
    <mergeCell ref="C39:D39"/>
    <mergeCell ref="B5:D5"/>
    <mergeCell ref="B6:D6"/>
    <mergeCell ref="B7:D7"/>
    <mergeCell ref="B8:D8"/>
    <mergeCell ref="B9:D9"/>
  </mergeCells>
  <pageMargins left="0.23622047244094491" right="0.23622047244094491"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G363"/>
  <sheetViews>
    <sheetView topLeftCell="A11" workbookViewId="0">
      <selection activeCell="B76" sqref="B76"/>
    </sheetView>
  </sheetViews>
  <sheetFormatPr baseColWidth="10" defaultColWidth="11.42578125" defaultRowHeight="15.75" x14ac:dyDescent="0.25"/>
  <cols>
    <col min="1" max="1" width="2" style="3" customWidth="1"/>
    <col min="2" max="2" width="62.5703125" style="3" customWidth="1"/>
    <col min="3" max="3" width="16.5703125" style="32" customWidth="1"/>
    <col min="4" max="4" width="14.42578125" style="32" customWidth="1"/>
    <col min="5" max="5" width="15.5703125" style="3" bestFit="1" customWidth="1"/>
    <col min="6" max="6" width="19.5703125" style="3" customWidth="1"/>
    <col min="7" max="16384" width="11.42578125" style="3"/>
  </cols>
  <sheetData>
    <row r="5" spans="2:7" x14ac:dyDescent="0.25">
      <c r="B5" s="247" t="s">
        <v>0</v>
      </c>
      <c r="C5" s="247"/>
      <c r="D5" s="247"/>
    </row>
    <row r="6" spans="2:7" x14ac:dyDescent="0.25">
      <c r="B6" s="247" t="s">
        <v>1</v>
      </c>
      <c r="C6" s="247"/>
      <c r="D6" s="247"/>
    </row>
    <row r="7" spans="2:7" x14ac:dyDescent="0.25">
      <c r="B7" s="248" t="s">
        <v>53</v>
      </c>
      <c r="C7" s="248"/>
      <c r="D7" s="248"/>
    </row>
    <row r="8" spans="2:7" x14ac:dyDescent="0.25">
      <c r="B8" s="248" t="s">
        <v>277</v>
      </c>
      <c r="C8" s="248"/>
      <c r="D8" s="248"/>
    </row>
    <row r="9" spans="2:7" ht="16.5" thickBot="1" x14ac:dyDescent="0.3">
      <c r="B9" s="249" t="s">
        <v>20</v>
      </c>
      <c r="C9" s="249"/>
      <c r="D9" s="249"/>
    </row>
    <row r="10" spans="2:7" ht="16.5" thickTop="1" x14ac:dyDescent="0.25">
      <c r="B10" s="46"/>
      <c r="C10" s="46"/>
      <c r="D10" s="46"/>
    </row>
    <row r="11" spans="2:7" ht="32.25" customHeight="1" x14ac:dyDescent="0.25">
      <c r="B11" s="72" t="s">
        <v>54</v>
      </c>
      <c r="C11" s="24">
        <v>2023</v>
      </c>
      <c r="D11" s="24">
        <v>2022</v>
      </c>
    </row>
    <row r="12" spans="2:7" ht="15" hidden="1" customHeight="1" x14ac:dyDescent="0.25">
      <c r="B12" s="1" t="s">
        <v>55</v>
      </c>
      <c r="C12" s="2"/>
      <c r="D12" s="2"/>
    </row>
    <row r="13" spans="2:7" hidden="1" x14ac:dyDescent="0.25">
      <c r="B13" s="1" t="s">
        <v>56</v>
      </c>
      <c r="C13" s="2"/>
      <c r="D13" s="2"/>
    </row>
    <row r="14" spans="2:7" hidden="1" x14ac:dyDescent="0.25">
      <c r="B14" s="1" t="s">
        <v>57</v>
      </c>
      <c r="C14" s="2"/>
      <c r="D14" s="2"/>
    </row>
    <row r="15" spans="2:7" x14ac:dyDescent="0.25">
      <c r="B15" s="1"/>
      <c r="C15" s="2"/>
      <c r="D15" s="2"/>
      <c r="F15" s="128"/>
      <c r="G15" s="128"/>
    </row>
    <row r="16" spans="2:7" ht="14.25" customHeight="1" x14ac:dyDescent="0.25">
      <c r="B16" s="4" t="s">
        <v>58</v>
      </c>
      <c r="C16" s="57">
        <v>288326009</v>
      </c>
      <c r="D16" s="57">
        <f>251397943-10000000</f>
        <v>241397943</v>
      </c>
      <c r="F16" s="129"/>
      <c r="G16" s="128"/>
    </row>
    <row r="17" spans="2:7" ht="15.75" hidden="1" customHeight="1" x14ac:dyDescent="0.25">
      <c r="B17" s="4" t="s">
        <v>59</v>
      </c>
      <c r="C17" s="5"/>
      <c r="D17" s="5"/>
      <c r="F17" s="67"/>
      <c r="G17" s="128"/>
    </row>
    <row r="18" spans="2:7" ht="15.75" hidden="1" customHeight="1" x14ac:dyDescent="0.25">
      <c r="B18" s="4" t="s">
        <v>60</v>
      </c>
      <c r="C18" s="5"/>
      <c r="D18" s="5"/>
      <c r="F18" s="67"/>
      <c r="G18" s="128"/>
    </row>
    <row r="19" spans="2:7" ht="15.75" hidden="1" customHeight="1" x14ac:dyDescent="0.25">
      <c r="B19" s="4" t="s">
        <v>61</v>
      </c>
      <c r="C19" s="5"/>
      <c r="D19" s="5"/>
      <c r="F19" s="67"/>
      <c r="G19" s="128"/>
    </row>
    <row r="20" spans="2:7" ht="15.75" hidden="1" customHeight="1" x14ac:dyDescent="0.25">
      <c r="B20" s="4" t="s">
        <v>62</v>
      </c>
      <c r="C20" s="5"/>
      <c r="D20" s="5"/>
      <c r="F20" s="67"/>
      <c r="G20" s="128"/>
    </row>
    <row r="21" spans="2:7" ht="15.75" customHeight="1" x14ac:dyDescent="0.25">
      <c r="B21" s="4" t="s">
        <v>290</v>
      </c>
      <c r="C21" s="5">
        <v>1525000</v>
      </c>
      <c r="D21" s="5">
        <v>334548</v>
      </c>
      <c r="F21" s="67"/>
      <c r="G21" s="128"/>
    </row>
    <row r="22" spans="2:7" x14ac:dyDescent="0.25">
      <c r="B22" s="4" t="s">
        <v>63</v>
      </c>
      <c r="C22" s="57">
        <v>-132838800</v>
      </c>
      <c r="D22" s="57">
        <v>-86432033.549999997</v>
      </c>
      <c r="F22" s="129"/>
      <c r="G22" s="128"/>
    </row>
    <row r="23" spans="2:7" x14ac:dyDescent="0.25">
      <c r="B23" s="4" t="s">
        <v>64</v>
      </c>
      <c r="C23" s="5">
        <v>-67494593.069999993</v>
      </c>
      <c r="D23" s="5">
        <v>-79851404</v>
      </c>
      <c r="F23" s="67"/>
      <c r="G23" s="128"/>
    </row>
    <row r="24" spans="2:7" x14ac:dyDescent="0.25">
      <c r="B24" s="4" t="s">
        <v>65</v>
      </c>
      <c r="C24" s="5">
        <v>-7950112</v>
      </c>
      <c r="D24" s="5">
        <v>-4442053.72</v>
      </c>
      <c r="F24" s="67"/>
      <c r="G24" s="128"/>
    </row>
    <row r="25" spans="2:7" x14ac:dyDescent="0.25">
      <c r="B25" s="4" t="s">
        <v>66</v>
      </c>
      <c r="C25" s="5">
        <v>0</v>
      </c>
      <c r="D25" s="5">
        <v>-3981899.26</v>
      </c>
      <c r="F25" s="67"/>
      <c r="G25" s="128"/>
    </row>
    <row r="26" spans="2:7" x14ac:dyDescent="0.25">
      <c r="B26" s="4" t="s">
        <v>67</v>
      </c>
      <c r="C26" s="5">
        <v>-21974055.390000001</v>
      </c>
      <c r="D26" s="5">
        <v>-21702012.719999999</v>
      </c>
      <c r="F26" s="67"/>
      <c r="G26" s="128"/>
    </row>
    <row r="27" spans="2:7" ht="15.75" hidden="1" customHeight="1" x14ac:dyDescent="0.25">
      <c r="B27" s="4" t="s">
        <v>68</v>
      </c>
      <c r="C27" s="5"/>
      <c r="D27" s="5"/>
      <c r="F27" s="67"/>
      <c r="G27" s="128"/>
    </row>
    <row r="28" spans="2:7" ht="15.75" hidden="1" customHeight="1" x14ac:dyDescent="0.25">
      <c r="B28" s="4" t="s">
        <v>69</v>
      </c>
      <c r="C28" s="5"/>
      <c r="D28" s="5"/>
      <c r="F28" s="67"/>
      <c r="G28" s="128"/>
    </row>
    <row r="29" spans="2:7" x14ac:dyDescent="0.25">
      <c r="B29" s="4" t="s">
        <v>70</v>
      </c>
      <c r="C29" s="5">
        <f>-99552-100</f>
        <v>-99652</v>
      </c>
      <c r="D29" s="5">
        <v>-28866.85</v>
      </c>
      <c r="F29" s="67"/>
      <c r="G29" s="128"/>
    </row>
    <row r="30" spans="2:7" ht="16.5" thickBot="1" x14ac:dyDescent="0.3">
      <c r="B30" s="4" t="s">
        <v>71</v>
      </c>
      <c r="C30" s="58">
        <f>-1640609.59-38542</f>
        <v>-1679151.59</v>
      </c>
      <c r="D30" s="58">
        <v>-1830000</v>
      </c>
      <c r="F30" s="67"/>
      <c r="G30" s="128"/>
    </row>
    <row r="31" spans="2:7" x14ac:dyDescent="0.25">
      <c r="B31" s="72" t="s">
        <v>72</v>
      </c>
      <c r="C31" s="59">
        <f>SUM(C16:C30)</f>
        <v>57814644.950000003</v>
      </c>
      <c r="D31" s="59">
        <f>SUM(D16:D30)</f>
        <v>43464220.899999991</v>
      </c>
      <c r="E31" s="60"/>
      <c r="F31" s="67"/>
      <c r="G31" s="128"/>
    </row>
    <row r="32" spans="2:7" x14ac:dyDescent="0.25">
      <c r="B32" s="61"/>
      <c r="C32" s="62"/>
      <c r="D32" s="62"/>
      <c r="F32" s="130"/>
      <c r="G32" s="128"/>
    </row>
    <row r="33" spans="2:7" x14ac:dyDescent="0.25">
      <c r="B33" s="63"/>
      <c r="C33" s="64"/>
      <c r="D33" s="64"/>
      <c r="F33" s="128"/>
      <c r="G33" s="128"/>
    </row>
    <row r="34" spans="2:7" x14ac:dyDescent="0.25">
      <c r="B34" s="69" t="s">
        <v>73</v>
      </c>
      <c r="C34" s="65"/>
      <c r="D34" s="65"/>
      <c r="F34" s="128"/>
      <c r="G34" s="128"/>
    </row>
    <row r="35" spans="2:7" hidden="1" x14ac:dyDescent="0.25">
      <c r="B35" s="66" t="s">
        <v>74</v>
      </c>
      <c r="C35" s="5"/>
      <c r="D35" s="5"/>
      <c r="F35" s="128"/>
      <c r="G35" s="128"/>
    </row>
    <row r="36" spans="2:7" hidden="1" x14ac:dyDescent="0.25">
      <c r="B36" s="4" t="s">
        <v>75</v>
      </c>
      <c r="C36" s="5"/>
      <c r="D36" s="5"/>
      <c r="F36" s="128"/>
      <c r="G36" s="128"/>
    </row>
    <row r="37" spans="2:7" ht="30" hidden="1" x14ac:dyDescent="0.25">
      <c r="B37" s="4" t="s">
        <v>76</v>
      </c>
      <c r="C37" s="5"/>
      <c r="D37" s="5"/>
      <c r="F37" s="128"/>
      <c r="G37" s="128"/>
    </row>
    <row r="38" spans="2:7" hidden="1" x14ac:dyDescent="0.25">
      <c r="B38" s="4" t="s">
        <v>77</v>
      </c>
      <c r="C38" s="5"/>
      <c r="D38" s="5"/>
      <c r="F38" s="128"/>
      <c r="G38" s="128"/>
    </row>
    <row r="39" spans="2:7" ht="30" hidden="1" x14ac:dyDescent="0.25">
      <c r="B39" s="4" t="s">
        <v>78</v>
      </c>
      <c r="C39" s="5"/>
      <c r="D39" s="5"/>
      <c r="F39" s="128"/>
      <c r="G39" s="128"/>
    </row>
    <row r="40" spans="2:7" hidden="1" x14ac:dyDescent="0.25">
      <c r="B40" s="4" t="s">
        <v>62</v>
      </c>
      <c r="C40" s="5"/>
      <c r="D40" s="5"/>
      <c r="F40" s="128"/>
      <c r="G40" s="128"/>
    </row>
    <row r="41" spans="2:7" x14ac:dyDescent="0.25">
      <c r="B41" s="4" t="s">
        <v>79</v>
      </c>
      <c r="C41" s="67">
        <v>-2903737.12</v>
      </c>
      <c r="D41" s="67">
        <v>-5195359.92</v>
      </c>
      <c r="F41" s="128"/>
      <c r="G41" s="128"/>
    </row>
    <row r="42" spans="2:7" ht="16.5" thickBot="1" x14ac:dyDescent="0.3">
      <c r="B42" s="4"/>
      <c r="C42" s="58"/>
      <c r="D42" s="58"/>
      <c r="F42" s="128"/>
      <c r="G42" s="128"/>
    </row>
    <row r="43" spans="2:7" ht="30" hidden="1" x14ac:dyDescent="0.25">
      <c r="B43" s="4" t="s">
        <v>80</v>
      </c>
      <c r="C43" s="5"/>
      <c r="D43" s="5"/>
      <c r="F43" s="128"/>
      <c r="G43" s="128"/>
    </row>
    <row r="44" spans="2:7" hidden="1" x14ac:dyDescent="0.25">
      <c r="B44" s="4" t="s">
        <v>81</v>
      </c>
      <c r="C44" s="5"/>
      <c r="D44" s="5"/>
      <c r="F44" s="128"/>
      <c r="G44" s="128"/>
    </row>
    <row r="45" spans="2:7" ht="30" hidden="1" x14ac:dyDescent="0.25">
      <c r="B45" s="4" t="s">
        <v>82</v>
      </c>
      <c r="C45" s="5"/>
      <c r="D45" s="5"/>
      <c r="F45" s="128"/>
      <c r="G45" s="128"/>
    </row>
    <row r="46" spans="2:7" hidden="1" x14ac:dyDescent="0.25">
      <c r="B46" s="4" t="s">
        <v>83</v>
      </c>
      <c r="C46" s="5"/>
      <c r="D46" s="5"/>
      <c r="F46" s="128"/>
      <c r="G46" s="128"/>
    </row>
    <row r="47" spans="2:7" hidden="1" x14ac:dyDescent="0.25">
      <c r="B47" s="4" t="s">
        <v>84</v>
      </c>
      <c r="C47" s="68"/>
      <c r="D47" s="68"/>
      <c r="F47" s="128"/>
      <c r="G47" s="128"/>
    </row>
    <row r="48" spans="2:7" x14ac:dyDescent="0.25">
      <c r="B48" s="69" t="s">
        <v>85</v>
      </c>
      <c r="C48" s="62">
        <f>SUM(C41:C47)</f>
        <v>-2903737.12</v>
      </c>
      <c r="D48" s="62">
        <f>SUM(D41:D47)</f>
        <v>-5195359.92</v>
      </c>
      <c r="F48" s="128"/>
      <c r="G48" s="128"/>
    </row>
    <row r="49" spans="2:5" x14ac:dyDescent="0.25">
      <c r="B49" s="63"/>
      <c r="C49" s="64"/>
      <c r="D49" s="64"/>
      <c r="E49" s="31"/>
    </row>
    <row r="50" spans="2:5" hidden="1" x14ac:dyDescent="0.25">
      <c r="B50" s="70" t="s">
        <v>86</v>
      </c>
      <c r="C50" s="65"/>
      <c r="D50" s="65"/>
    </row>
    <row r="51" spans="2:5" hidden="1" x14ac:dyDescent="0.25">
      <c r="B51" s="4" t="s">
        <v>87</v>
      </c>
      <c r="C51" s="5"/>
      <c r="D51" s="5"/>
    </row>
    <row r="52" spans="2:5" hidden="1" x14ac:dyDescent="0.25">
      <c r="B52" s="4" t="s">
        <v>88</v>
      </c>
      <c r="C52" s="5"/>
      <c r="D52" s="5"/>
    </row>
    <row r="53" spans="2:5" hidden="1" x14ac:dyDescent="0.25">
      <c r="B53" s="4" t="s">
        <v>89</v>
      </c>
      <c r="C53" s="5"/>
      <c r="D53" s="5"/>
    </row>
    <row r="54" spans="2:5" ht="30" hidden="1" x14ac:dyDescent="0.25">
      <c r="B54" s="4" t="s">
        <v>90</v>
      </c>
      <c r="C54" s="5"/>
      <c r="D54" s="5"/>
    </row>
    <row r="55" spans="2:5" hidden="1" x14ac:dyDescent="0.25">
      <c r="B55" s="4" t="s">
        <v>62</v>
      </c>
      <c r="C55" s="5"/>
      <c r="D55" s="5"/>
    </row>
    <row r="56" spans="2:5" ht="30" hidden="1" x14ac:dyDescent="0.25">
      <c r="B56" s="4" t="s">
        <v>91</v>
      </c>
      <c r="C56" s="5"/>
      <c r="D56" s="5"/>
    </row>
    <row r="57" spans="2:5" ht="30" hidden="1" x14ac:dyDescent="0.25">
      <c r="B57" s="4" t="s">
        <v>92</v>
      </c>
      <c r="C57" s="5"/>
      <c r="D57" s="5"/>
    </row>
    <row r="58" spans="2:5" hidden="1" x14ac:dyDescent="0.25">
      <c r="B58" s="4" t="s">
        <v>93</v>
      </c>
      <c r="C58" s="5"/>
      <c r="D58" s="5"/>
    </row>
    <row r="59" spans="2:5" hidden="1" x14ac:dyDescent="0.25">
      <c r="B59" s="4" t="s">
        <v>94</v>
      </c>
      <c r="C59" s="5"/>
      <c r="D59" s="5"/>
    </row>
    <row r="60" spans="2:5" ht="30" hidden="1" x14ac:dyDescent="0.25">
      <c r="B60" s="4" t="s">
        <v>95</v>
      </c>
      <c r="C60" s="5"/>
      <c r="D60" s="5"/>
    </row>
    <row r="61" spans="2:5" hidden="1" x14ac:dyDescent="0.25">
      <c r="B61" s="4" t="s">
        <v>96</v>
      </c>
      <c r="C61" s="68"/>
      <c r="D61" s="68"/>
    </row>
    <row r="62" spans="2:5" hidden="1" x14ac:dyDescent="0.25">
      <c r="B62" s="70" t="s">
        <v>97</v>
      </c>
      <c r="C62" s="62"/>
      <c r="D62" s="62"/>
    </row>
    <row r="63" spans="2:5" x14ac:dyDescent="0.25">
      <c r="B63" s="63"/>
      <c r="C63" s="71"/>
      <c r="D63" s="71"/>
    </row>
    <row r="64" spans="2:5" ht="30.75" thickBot="1" x14ac:dyDescent="0.3">
      <c r="B64" s="72" t="s">
        <v>98</v>
      </c>
      <c r="C64" s="73">
        <f>C31+C41</f>
        <v>54910907.830000006</v>
      </c>
      <c r="D64" s="73">
        <f>D31+D41</f>
        <v>38268860.979999989</v>
      </c>
    </row>
    <row r="65" spans="2:5" x14ac:dyDescent="0.25">
      <c r="B65" s="72" t="s">
        <v>99</v>
      </c>
      <c r="C65" s="74">
        <f>'Notas Explicativas'!G60</f>
        <v>0</v>
      </c>
      <c r="D65" s="74">
        <v>106415093</v>
      </c>
    </row>
    <row r="66" spans="2:5" ht="16.5" thickBot="1" x14ac:dyDescent="0.3">
      <c r="B66" s="61" t="s">
        <v>100</v>
      </c>
      <c r="C66" s="75">
        <f>SUM(C64:C65)</f>
        <v>54910907.830000006</v>
      </c>
      <c r="D66" s="75">
        <f>SUM(D64:D65)</f>
        <v>144683953.97999999</v>
      </c>
    </row>
    <row r="67" spans="2:5" ht="16.5" thickTop="1" x14ac:dyDescent="0.25">
      <c r="B67" s="21"/>
      <c r="C67" s="71"/>
      <c r="D67" s="71"/>
      <c r="E67" s="32"/>
    </row>
    <row r="69" spans="2:5" ht="56.25" customHeight="1" x14ac:dyDescent="0.3">
      <c r="B69" s="40" t="s">
        <v>359</v>
      </c>
      <c r="C69" s="41" t="s">
        <v>363</v>
      </c>
      <c r="D69" s="41"/>
      <c r="E69" s="41"/>
    </row>
    <row r="70" spans="2:5" ht="18.75" x14ac:dyDescent="0.3">
      <c r="B70" s="43" t="s">
        <v>101</v>
      </c>
      <c r="C70" s="42" t="s">
        <v>302</v>
      </c>
      <c r="D70" s="41"/>
      <c r="E70" s="41"/>
    </row>
    <row r="71" spans="2:5" ht="18.75" x14ac:dyDescent="0.3">
      <c r="B71" s="43"/>
      <c r="C71" s="44"/>
      <c r="D71" s="44"/>
      <c r="E71" s="21"/>
    </row>
    <row r="72" spans="2:5" ht="18.75" x14ac:dyDescent="0.3">
      <c r="B72" s="40"/>
      <c r="C72" s="44"/>
      <c r="D72" s="44"/>
      <c r="E72" s="21"/>
    </row>
    <row r="73" spans="2:5" ht="18.75" x14ac:dyDescent="0.3">
      <c r="B73" s="40" t="s">
        <v>102</v>
      </c>
      <c r="C73" s="41" t="s">
        <v>276</v>
      </c>
      <c r="D73" s="41"/>
      <c r="E73" s="76"/>
    </row>
    <row r="74" spans="2:5" ht="18.75" x14ac:dyDescent="0.3">
      <c r="B74" s="43" t="s">
        <v>103</v>
      </c>
      <c r="C74" s="127" t="s">
        <v>301</v>
      </c>
      <c r="D74" s="22"/>
      <c r="E74" s="77"/>
    </row>
    <row r="363" spans="3:3" x14ac:dyDescent="0.25">
      <c r="C363" s="32">
        <f>'[1]FLUJO DE EFECTIVO'!C63</f>
        <v>154683954</v>
      </c>
    </row>
  </sheetData>
  <mergeCells count="5">
    <mergeCell ref="B5:D5"/>
    <mergeCell ref="B6:D6"/>
    <mergeCell ref="B7:D7"/>
    <mergeCell ref="B8:D8"/>
    <mergeCell ref="B9:D9"/>
  </mergeCells>
  <pageMargins left="0.70866141732283472" right="0.70866141732283472" top="0.74803149606299213" bottom="0.74803149606299213" header="0.31496062992125984" footer="0.31496062992125984"/>
  <pageSetup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48"/>
  <sheetViews>
    <sheetView topLeftCell="A10" workbookViewId="0">
      <selection activeCell="B53" sqref="B53"/>
    </sheetView>
  </sheetViews>
  <sheetFormatPr baseColWidth="10" defaultRowHeight="15.75" x14ac:dyDescent="0.25"/>
  <cols>
    <col min="1" max="1" width="2.42578125" style="21" customWidth="1"/>
    <col min="2" max="2" width="47.140625" style="21" customWidth="1"/>
    <col min="3" max="3" width="23" style="47" customWidth="1"/>
    <col min="4" max="4" width="20.28515625" style="39" customWidth="1"/>
    <col min="5" max="5" width="20.140625" style="83" customWidth="1"/>
    <col min="6" max="6" width="22.42578125" style="83" customWidth="1"/>
    <col min="7" max="7" width="19.140625" style="91" customWidth="1"/>
    <col min="8" max="8" width="11.42578125" style="83"/>
    <col min="9" max="253" width="11.42578125" style="21"/>
    <col min="254" max="254" width="2.42578125" style="21" customWidth="1"/>
    <col min="255" max="255" width="0" style="21" hidden="1" customWidth="1"/>
    <col min="256" max="256" width="45.5703125" style="21" customWidth="1"/>
    <col min="257" max="257" width="18.42578125" style="21" customWidth="1"/>
    <col min="258" max="258" width="0.5703125" style="21" customWidth="1"/>
    <col min="259" max="259" width="18.28515625" style="21" customWidth="1"/>
    <col min="260" max="509" width="11.42578125" style="21"/>
    <col min="510" max="510" width="2.42578125" style="21" customWidth="1"/>
    <col min="511" max="511" width="0" style="21" hidden="1" customWidth="1"/>
    <col min="512" max="512" width="45.5703125" style="21" customWidth="1"/>
    <col min="513" max="513" width="18.42578125" style="21" customWidth="1"/>
    <col min="514" max="514" width="0.5703125" style="21" customWidth="1"/>
    <col min="515" max="515" width="18.28515625" style="21" customWidth="1"/>
    <col min="516" max="765" width="11.42578125" style="21"/>
    <col min="766" max="766" width="2.42578125" style="21" customWidth="1"/>
    <col min="767" max="767" width="0" style="21" hidden="1" customWidth="1"/>
    <col min="768" max="768" width="45.5703125" style="21" customWidth="1"/>
    <col min="769" max="769" width="18.42578125" style="21" customWidth="1"/>
    <col min="770" max="770" width="0.5703125" style="21" customWidth="1"/>
    <col min="771" max="771" width="18.28515625" style="21" customWidth="1"/>
    <col min="772" max="1021" width="11.42578125" style="21"/>
    <col min="1022" max="1022" width="2.42578125" style="21" customWidth="1"/>
    <col min="1023" max="1023" width="0" style="21" hidden="1" customWidth="1"/>
    <col min="1024" max="1024" width="45.5703125" style="21" customWidth="1"/>
    <col min="1025" max="1025" width="18.42578125" style="21" customWidth="1"/>
    <col min="1026" max="1026" width="0.5703125" style="21" customWidth="1"/>
    <col min="1027" max="1027" width="18.28515625" style="21" customWidth="1"/>
    <col min="1028" max="1277" width="11.42578125" style="21"/>
    <col min="1278" max="1278" width="2.42578125" style="21" customWidth="1"/>
    <col min="1279" max="1279" width="0" style="21" hidden="1" customWidth="1"/>
    <col min="1280" max="1280" width="45.5703125" style="21" customWidth="1"/>
    <col min="1281" max="1281" width="18.42578125" style="21" customWidth="1"/>
    <col min="1282" max="1282" width="0.5703125" style="21" customWidth="1"/>
    <col min="1283" max="1283" width="18.28515625" style="21" customWidth="1"/>
    <col min="1284" max="1533" width="11.42578125" style="21"/>
    <col min="1534" max="1534" width="2.42578125" style="21" customWidth="1"/>
    <col min="1535" max="1535" width="0" style="21" hidden="1" customWidth="1"/>
    <col min="1536" max="1536" width="45.5703125" style="21" customWidth="1"/>
    <col min="1537" max="1537" width="18.42578125" style="21" customWidth="1"/>
    <col min="1538" max="1538" width="0.5703125" style="21" customWidth="1"/>
    <col min="1539" max="1539" width="18.28515625" style="21" customWidth="1"/>
    <col min="1540" max="1789" width="11.42578125" style="21"/>
    <col min="1790" max="1790" width="2.42578125" style="21" customWidth="1"/>
    <col min="1791" max="1791" width="0" style="21" hidden="1" customWidth="1"/>
    <col min="1792" max="1792" width="45.5703125" style="21" customWidth="1"/>
    <col min="1793" max="1793" width="18.42578125" style="21" customWidth="1"/>
    <col min="1794" max="1794" width="0.5703125" style="21" customWidth="1"/>
    <col min="1795" max="1795" width="18.28515625" style="21" customWidth="1"/>
    <col min="1796" max="2045" width="11.42578125" style="21"/>
    <col min="2046" max="2046" width="2.42578125" style="21" customWidth="1"/>
    <col min="2047" max="2047" width="0" style="21" hidden="1" customWidth="1"/>
    <col min="2048" max="2048" width="45.5703125" style="21" customWidth="1"/>
    <col min="2049" max="2049" width="18.42578125" style="21" customWidth="1"/>
    <col min="2050" max="2050" width="0.5703125" style="21" customWidth="1"/>
    <col min="2051" max="2051" width="18.28515625" style="21" customWidth="1"/>
    <col min="2052" max="2301" width="11.42578125" style="21"/>
    <col min="2302" max="2302" width="2.42578125" style="21" customWidth="1"/>
    <col min="2303" max="2303" width="0" style="21" hidden="1" customWidth="1"/>
    <col min="2304" max="2304" width="45.5703125" style="21" customWidth="1"/>
    <col min="2305" max="2305" width="18.42578125" style="21" customWidth="1"/>
    <col min="2306" max="2306" width="0.5703125" style="21" customWidth="1"/>
    <col min="2307" max="2307" width="18.28515625" style="21" customWidth="1"/>
    <col min="2308" max="2557" width="11.42578125" style="21"/>
    <col min="2558" max="2558" width="2.42578125" style="21" customWidth="1"/>
    <col min="2559" max="2559" width="0" style="21" hidden="1" customWidth="1"/>
    <col min="2560" max="2560" width="45.5703125" style="21" customWidth="1"/>
    <col min="2561" max="2561" width="18.42578125" style="21" customWidth="1"/>
    <col min="2562" max="2562" width="0.5703125" style="21" customWidth="1"/>
    <col min="2563" max="2563" width="18.28515625" style="21" customWidth="1"/>
    <col min="2564" max="2813" width="11.42578125" style="21"/>
    <col min="2814" max="2814" width="2.42578125" style="21" customWidth="1"/>
    <col min="2815" max="2815" width="0" style="21" hidden="1" customWidth="1"/>
    <col min="2816" max="2816" width="45.5703125" style="21" customWidth="1"/>
    <col min="2817" max="2817" width="18.42578125" style="21" customWidth="1"/>
    <col min="2818" max="2818" width="0.5703125" style="21" customWidth="1"/>
    <col min="2819" max="2819" width="18.28515625" style="21" customWidth="1"/>
    <col min="2820" max="3069" width="11.42578125" style="21"/>
    <col min="3070" max="3070" width="2.42578125" style="21" customWidth="1"/>
    <col min="3071" max="3071" width="0" style="21" hidden="1" customWidth="1"/>
    <col min="3072" max="3072" width="45.5703125" style="21" customWidth="1"/>
    <col min="3073" max="3073" width="18.42578125" style="21" customWidth="1"/>
    <col min="3074" max="3074" width="0.5703125" style="21" customWidth="1"/>
    <col min="3075" max="3075" width="18.28515625" style="21" customWidth="1"/>
    <col min="3076" max="3325" width="11.42578125" style="21"/>
    <col min="3326" max="3326" width="2.42578125" style="21" customWidth="1"/>
    <col min="3327" max="3327" width="0" style="21" hidden="1" customWidth="1"/>
    <col min="3328" max="3328" width="45.5703125" style="21" customWidth="1"/>
    <col min="3329" max="3329" width="18.42578125" style="21" customWidth="1"/>
    <col min="3330" max="3330" width="0.5703125" style="21" customWidth="1"/>
    <col min="3331" max="3331" width="18.28515625" style="21" customWidth="1"/>
    <col min="3332" max="3581" width="11.42578125" style="21"/>
    <col min="3582" max="3582" width="2.42578125" style="21" customWidth="1"/>
    <col min="3583" max="3583" width="0" style="21" hidden="1" customWidth="1"/>
    <col min="3584" max="3584" width="45.5703125" style="21" customWidth="1"/>
    <col min="3585" max="3585" width="18.42578125" style="21" customWidth="1"/>
    <col min="3586" max="3586" width="0.5703125" style="21" customWidth="1"/>
    <col min="3587" max="3587" width="18.28515625" style="21" customWidth="1"/>
    <col min="3588" max="3837" width="11.42578125" style="21"/>
    <col min="3838" max="3838" width="2.42578125" style="21" customWidth="1"/>
    <col min="3839" max="3839" width="0" style="21" hidden="1" customWidth="1"/>
    <col min="3840" max="3840" width="45.5703125" style="21" customWidth="1"/>
    <col min="3841" max="3841" width="18.42578125" style="21" customWidth="1"/>
    <col min="3842" max="3842" width="0.5703125" style="21" customWidth="1"/>
    <col min="3843" max="3843" width="18.28515625" style="21" customWidth="1"/>
    <col min="3844" max="4093" width="11.42578125" style="21"/>
    <col min="4094" max="4094" width="2.42578125" style="21" customWidth="1"/>
    <col min="4095" max="4095" width="0" style="21" hidden="1" customWidth="1"/>
    <col min="4096" max="4096" width="45.5703125" style="21" customWidth="1"/>
    <col min="4097" max="4097" width="18.42578125" style="21" customWidth="1"/>
    <col min="4098" max="4098" width="0.5703125" style="21" customWidth="1"/>
    <col min="4099" max="4099" width="18.28515625" style="21" customWidth="1"/>
    <col min="4100" max="4349" width="11.42578125" style="21"/>
    <col min="4350" max="4350" width="2.42578125" style="21" customWidth="1"/>
    <col min="4351" max="4351" width="0" style="21" hidden="1" customWidth="1"/>
    <col min="4352" max="4352" width="45.5703125" style="21" customWidth="1"/>
    <col min="4353" max="4353" width="18.42578125" style="21" customWidth="1"/>
    <col min="4354" max="4354" width="0.5703125" style="21" customWidth="1"/>
    <col min="4355" max="4355" width="18.28515625" style="21" customWidth="1"/>
    <col min="4356" max="4605" width="11.42578125" style="21"/>
    <col min="4606" max="4606" width="2.42578125" style="21" customWidth="1"/>
    <col min="4607" max="4607" width="0" style="21" hidden="1" customWidth="1"/>
    <col min="4608" max="4608" width="45.5703125" style="21" customWidth="1"/>
    <col min="4609" max="4609" width="18.42578125" style="21" customWidth="1"/>
    <col min="4610" max="4610" width="0.5703125" style="21" customWidth="1"/>
    <col min="4611" max="4611" width="18.28515625" style="21" customWidth="1"/>
    <col min="4612" max="4861" width="11.42578125" style="21"/>
    <col min="4862" max="4862" width="2.42578125" style="21" customWidth="1"/>
    <col min="4863" max="4863" width="0" style="21" hidden="1" customWidth="1"/>
    <col min="4864" max="4864" width="45.5703125" style="21" customWidth="1"/>
    <col min="4865" max="4865" width="18.42578125" style="21" customWidth="1"/>
    <col min="4866" max="4866" width="0.5703125" style="21" customWidth="1"/>
    <col min="4867" max="4867" width="18.28515625" style="21" customWidth="1"/>
    <col min="4868" max="5117" width="11.42578125" style="21"/>
    <col min="5118" max="5118" width="2.42578125" style="21" customWidth="1"/>
    <col min="5119" max="5119" width="0" style="21" hidden="1" customWidth="1"/>
    <col min="5120" max="5120" width="45.5703125" style="21" customWidth="1"/>
    <col min="5121" max="5121" width="18.42578125" style="21" customWidth="1"/>
    <col min="5122" max="5122" width="0.5703125" style="21" customWidth="1"/>
    <col min="5123" max="5123" width="18.28515625" style="21" customWidth="1"/>
    <col min="5124" max="5373" width="11.42578125" style="21"/>
    <col min="5374" max="5374" width="2.42578125" style="21" customWidth="1"/>
    <col min="5375" max="5375" width="0" style="21" hidden="1" customWidth="1"/>
    <col min="5376" max="5376" width="45.5703125" style="21" customWidth="1"/>
    <col min="5377" max="5377" width="18.42578125" style="21" customWidth="1"/>
    <col min="5378" max="5378" width="0.5703125" style="21" customWidth="1"/>
    <col min="5379" max="5379" width="18.28515625" style="21" customWidth="1"/>
    <col min="5380" max="5629" width="11.42578125" style="21"/>
    <col min="5630" max="5630" width="2.42578125" style="21" customWidth="1"/>
    <col min="5631" max="5631" width="0" style="21" hidden="1" customWidth="1"/>
    <col min="5632" max="5632" width="45.5703125" style="21" customWidth="1"/>
    <col min="5633" max="5633" width="18.42578125" style="21" customWidth="1"/>
    <col min="5634" max="5634" width="0.5703125" style="21" customWidth="1"/>
    <col min="5635" max="5635" width="18.28515625" style="21" customWidth="1"/>
    <col min="5636" max="5885" width="11.42578125" style="21"/>
    <col min="5886" max="5886" width="2.42578125" style="21" customWidth="1"/>
    <col min="5887" max="5887" width="0" style="21" hidden="1" customWidth="1"/>
    <col min="5888" max="5888" width="45.5703125" style="21" customWidth="1"/>
    <col min="5889" max="5889" width="18.42578125" style="21" customWidth="1"/>
    <col min="5890" max="5890" width="0.5703125" style="21" customWidth="1"/>
    <col min="5891" max="5891" width="18.28515625" style="21" customWidth="1"/>
    <col min="5892" max="6141" width="11.42578125" style="21"/>
    <col min="6142" max="6142" width="2.42578125" style="21" customWidth="1"/>
    <col min="6143" max="6143" width="0" style="21" hidden="1" customWidth="1"/>
    <col min="6144" max="6144" width="45.5703125" style="21" customWidth="1"/>
    <col min="6145" max="6145" width="18.42578125" style="21" customWidth="1"/>
    <col min="6146" max="6146" width="0.5703125" style="21" customWidth="1"/>
    <col min="6147" max="6147" width="18.28515625" style="21" customWidth="1"/>
    <col min="6148" max="6397" width="11.42578125" style="21"/>
    <col min="6398" max="6398" width="2.42578125" style="21" customWidth="1"/>
    <col min="6399" max="6399" width="0" style="21" hidden="1" customWidth="1"/>
    <col min="6400" max="6400" width="45.5703125" style="21" customWidth="1"/>
    <col min="6401" max="6401" width="18.42578125" style="21" customWidth="1"/>
    <col min="6402" max="6402" width="0.5703125" style="21" customWidth="1"/>
    <col min="6403" max="6403" width="18.28515625" style="21" customWidth="1"/>
    <col min="6404" max="6653" width="11.42578125" style="21"/>
    <col min="6654" max="6654" width="2.42578125" style="21" customWidth="1"/>
    <col min="6655" max="6655" width="0" style="21" hidden="1" customWidth="1"/>
    <col min="6656" max="6656" width="45.5703125" style="21" customWidth="1"/>
    <col min="6657" max="6657" width="18.42578125" style="21" customWidth="1"/>
    <col min="6658" max="6658" width="0.5703125" style="21" customWidth="1"/>
    <col min="6659" max="6659" width="18.28515625" style="21" customWidth="1"/>
    <col min="6660" max="6909" width="11.42578125" style="21"/>
    <col min="6910" max="6910" width="2.42578125" style="21" customWidth="1"/>
    <col min="6911" max="6911" width="0" style="21" hidden="1" customWidth="1"/>
    <col min="6912" max="6912" width="45.5703125" style="21" customWidth="1"/>
    <col min="6913" max="6913" width="18.42578125" style="21" customWidth="1"/>
    <col min="6914" max="6914" width="0.5703125" style="21" customWidth="1"/>
    <col min="6915" max="6915" width="18.28515625" style="21" customWidth="1"/>
    <col min="6916" max="7165" width="11.42578125" style="21"/>
    <col min="7166" max="7166" width="2.42578125" style="21" customWidth="1"/>
    <col min="7167" max="7167" width="0" style="21" hidden="1" customWidth="1"/>
    <col min="7168" max="7168" width="45.5703125" style="21" customWidth="1"/>
    <col min="7169" max="7169" width="18.42578125" style="21" customWidth="1"/>
    <col min="7170" max="7170" width="0.5703125" style="21" customWidth="1"/>
    <col min="7171" max="7171" width="18.28515625" style="21" customWidth="1"/>
    <col min="7172" max="7421" width="11.42578125" style="21"/>
    <col min="7422" max="7422" width="2.42578125" style="21" customWidth="1"/>
    <col min="7423" max="7423" width="0" style="21" hidden="1" customWidth="1"/>
    <col min="7424" max="7424" width="45.5703125" style="21" customWidth="1"/>
    <col min="7425" max="7425" width="18.42578125" style="21" customWidth="1"/>
    <col min="7426" max="7426" width="0.5703125" style="21" customWidth="1"/>
    <col min="7427" max="7427" width="18.28515625" style="21" customWidth="1"/>
    <col min="7428" max="7677" width="11.42578125" style="21"/>
    <col min="7678" max="7678" width="2.42578125" style="21" customWidth="1"/>
    <col min="7679" max="7679" width="0" style="21" hidden="1" customWidth="1"/>
    <col min="7680" max="7680" width="45.5703125" style="21" customWidth="1"/>
    <col min="7681" max="7681" width="18.42578125" style="21" customWidth="1"/>
    <col min="7682" max="7682" width="0.5703125" style="21" customWidth="1"/>
    <col min="7683" max="7683" width="18.28515625" style="21" customWidth="1"/>
    <col min="7684" max="7933" width="11.42578125" style="21"/>
    <col min="7934" max="7934" width="2.42578125" style="21" customWidth="1"/>
    <col min="7935" max="7935" width="0" style="21" hidden="1" customWidth="1"/>
    <col min="7936" max="7936" width="45.5703125" style="21" customWidth="1"/>
    <col min="7937" max="7937" width="18.42578125" style="21" customWidth="1"/>
    <col min="7938" max="7938" width="0.5703125" style="21" customWidth="1"/>
    <col min="7939" max="7939" width="18.28515625" style="21" customWidth="1"/>
    <col min="7940" max="8189" width="11.42578125" style="21"/>
    <col min="8190" max="8190" width="2.42578125" style="21" customWidth="1"/>
    <col min="8191" max="8191" width="0" style="21" hidden="1" customWidth="1"/>
    <col min="8192" max="8192" width="45.5703125" style="21" customWidth="1"/>
    <col min="8193" max="8193" width="18.42578125" style="21" customWidth="1"/>
    <col min="8194" max="8194" width="0.5703125" style="21" customWidth="1"/>
    <col min="8195" max="8195" width="18.28515625" style="21" customWidth="1"/>
    <col min="8196" max="8445" width="11.42578125" style="21"/>
    <col min="8446" max="8446" width="2.42578125" style="21" customWidth="1"/>
    <col min="8447" max="8447" width="0" style="21" hidden="1" customWidth="1"/>
    <col min="8448" max="8448" width="45.5703125" style="21" customWidth="1"/>
    <col min="8449" max="8449" width="18.42578125" style="21" customWidth="1"/>
    <col min="8450" max="8450" width="0.5703125" style="21" customWidth="1"/>
    <col min="8451" max="8451" width="18.28515625" style="21" customWidth="1"/>
    <col min="8452" max="8701" width="11.42578125" style="21"/>
    <col min="8702" max="8702" width="2.42578125" style="21" customWidth="1"/>
    <col min="8703" max="8703" width="0" style="21" hidden="1" customWidth="1"/>
    <col min="8704" max="8704" width="45.5703125" style="21" customWidth="1"/>
    <col min="8705" max="8705" width="18.42578125" style="21" customWidth="1"/>
    <col min="8706" max="8706" width="0.5703125" style="21" customWidth="1"/>
    <col min="8707" max="8707" width="18.28515625" style="21" customWidth="1"/>
    <col min="8708" max="8957" width="11.42578125" style="21"/>
    <col min="8958" max="8958" width="2.42578125" style="21" customWidth="1"/>
    <col min="8959" max="8959" width="0" style="21" hidden="1" customWidth="1"/>
    <col min="8960" max="8960" width="45.5703125" style="21" customWidth="1"/>
    <col min="8961" max="8961" width="18.42578125" style="21" customWidth="1"/>
    <col min="8962" max="8962" width="0.5703125" style="21" customWidth="1"/>
    <col min="8963" max="8963" width="18.28515625" style="21" customWidth="1"/>
    <col min="8964" max="9213" width="11.42578125" style="21"/>
    <col min="9214" max="9214" width="2.42578125" style="21" customWidth="1"/>
    <col min="9215" max="9215" width="0" style="21" hidden="1" customWidth="1"/>
    <col min="9216" max="9216" width="45.5703125" style="21" customWidth="1"/>
    <col min="9217" max="9217" width="18.42578125" style="21" customWidth="1"/>
    <col min="9218" max="9218" width="0.5703125" style="21" customWidth="1"/>
    <col min="9219" max="9219" width="18.28515625" style="21" customWidth="1"/>
    <col min="9220" max="9469" width="11.42578125" style="21"/>
    <col min="9470" max="9470" width="2.42578125" style="21" customWidth="1"/>
    <col min="9471" max="9471" width="0" style="21" hidden="1" customWidth="1"/>
    <col min="9472" max="9472" width="45.5703125" style="21" customWidth="1"/>
    <col min="9473" max="9473" width="18.42578125" style="21" customWidth="1"/>
    <col min="9474" max="9474" width="0.5703125" style="21" customWidth="1"/>
    <col min="9475" max="9475" width="18.28515625" style="21" customWidth="1"/>
    <col min="9476" max="9725" width="11.42578125" style="21"/>
    <col min="9726" max="9726" width="2.42578125" style="21" customWidth="1"/>
    <col min="9727" max="9727" width="0" style="21" hidden="1" customWidth="1"/>
    <col min="9728" max="9728" width="45.5703125" style="21" customWidth="1"/>
    <col min="9729" max="9729" width="18.42578125" style="21" customWidth="1"/>
    <col min="9730" max="9730" width="0.5703125" style="21" customWidth="1"/>
    <col min="9731" max="9731" width="18.28515625" style="21" customWidth="1"/>
    <col min="9732" max="9981" width="11.42578125" style="21"/>
    <col min="9982" max="9982" width="2.42578125" style="21" customWidth="1"/>
    <col min="9983" max="9983" width="0" style="21" hidden="1" customWidth="1"/>
    <col min="9984" max="9984" width="45.5703125" style="21" customWidth="1"/>
    <col min="9985" max="9985" width="18.42578125" style="21" customWidth="1"/>
    <col min="9986" max="9986" width="0.5703125" style="21" customWidth="1"/>
    <col min="9987" max="9987" width="18.28515625" style="21" customWidth="1"/>
    <col min="9988" max="10237" width="11.42578125" style="21"/>
    <col min="10238" max="10238" width="2.42578125" style="21" customWidth="1"/>
    <col min="10239" max="10239" width="0" style="21" hidden="1" customWidth="1"/>
    <col min="10240" max="10240" width="45.5703125" style="21" customWidth="1"/>
    <col min="10241" max="10241" width="18.42578125" style="21" customWidth="1"/>
    <col min="10242" max="10242" width="0.5703125" style="21" customWidth="1"/>
    <col min="10243" max="10243" width="18.28515625" style="21" customWidth="1"/>
    <col min="10244" max="10493" width="11.42578125" style="21"/>
    <col min="10494" max="10494" width="2.42578125" style="21" customWidth="1"/>
    <col min="10495" max="10495" width="0" style="21" hidden="1" customWidth="1"/>
    <col min="10496" max="10496" width="45.5703125" style="21" customWidth="1"/>
    <col min="10497" max="10497" width="18.42578125" style="21" customWidth="1"/>
    <col min="10498" max="10498" width="0.5703125" style="21" customWidth="1"/>
    <col min="10499" max="10499" width="18.28515625" style="21" customWidth="1"/>
    <col min="10500" max="10749" width="11.42578125" style="21"/>
    <col min="10750" max="10750" width="2.42578125" style="21" customWidth="1"/>
    <col min="10751" max="10751" width="0" style="21" hidden="1" customWidth="1"/>
    <col min="10752" max="10752" width="45.5703125" style="21" customWidth="1"/>
    <col min="10753" max="10753" width="18.42578125" style="21" customWidth="1"/>
    <col min="10754" max="10754" width="0.5703125" style="21" customWidth="1"/>
    <col min="10755" max="10755" width="18.28515625" style="21" customWidth="1"/>
    <col min="10756" max="11005" width="11.42578125" style="21"/>
    <col min="11006" max="11006" width="2.42578125" style="21" customWidth="1"/>
    <col min="11007" max="11007" width="0" style="21" hidden="1" customWidth="1"/>
    <col min="11008" max="11008" width="45.5703125" style="21" customWidth="1"/>
    <col min="11009" max="11009" width="18.42578125" style="21" customWidth="1"/>
    <col min="11010" max="11010" width="0.5703125" style="21" customWidth="1"/>
    <col min="11011" max="11011" width="18.28515625" style="21" customWidth="1"/>
    <col min="11012" max="11261" width="11.42578125" style="21"/>
    <col min="11262" max="11262" width="2.42578125" style="21" customWidth="1"/>
    <col min="11263" max="11263" width="0" style="21" hidden="1" customWidth="1"/>
    <col min="11264" max="11264" width="45.5703125" style="21" customWidth="1"/>
    <col min="11265" max="11265" width="18.42578125" style="21" customWidth="1"/>
    <col min="11266" max="11266" width="0.5703125" style="21" customWidth="1"/>
    <col min="11267" max="11267" width="18.28515625" style="21" customWidth="1"/>
    <col min="11268" max="11517" width="11.42578125" style="21"/>
    <col min="11518" max="11518" width="2.42578125" style="21" customWidth="1"/>
    <col min="11519" max="11519" width="0" style="21" hidden="1" customWidth="1"/>
    <col min="11520" max="11520" width="45.5703125" style="21" customWidth="1"/>
    <col min="11521" max="11521" width="18.42578125" style="21" customWidth="1"/>
    <col min="11522" max="11522" width="0.5703125" style="21" customWidth="1"/>
    <col min="11523" max="11523" width="18.28515625" style="21" customWidth="1"/>
    <col min="11524" max="11773" width="11.42578125" style="21"/>
    <col min="11774" max="11774" width="2.42578125" style="21" customWidth="1"/>
    <col min="11775" max="11775" width="0" style="21" hidden="1" customWidth="1"/>
    <col min="11776" max="11776" width="45.5703125" style="21" customWidth="1"/>
    <col min="11777" max="11777" width="18.42578125" style="21" customWidth="1"/>
    <col min="11778" max="11778" width="0.5703125" style="21" customWidth="1"/>
    <col min="11779" max="11779" width="18.28515625" style="21" customWidth="1"/>
    <col min="11780" max="12029" width="11.42578125" style="21"/>
    <col min="12030" max="12030" width="2.42578125" style="21" customWidth="1"/>
    <col min="12031" max="12031" width="0" style="21" hidden="1" customWidth="1"/>
    <col min="12032" max="12032" width="45.5703125" style="21" customWidth="1"/>
    <col min="12033" max="12033" width="18.42578125" style="21" customWidth="1"/>
    <col min="12034" max="12034" width="0.5703125" style="21" customWidth="1"/>
    <col min="12035" max="12035" width="18.28515625" style="21" customWidth="1"/>
    <col min="12036" max="12285" width="11.42578125" style="21"/>
    <col min="12286" max="12286" width="2.42578125" style="21" customWidth="1"/>
    <col min="12287" max="12287" width="0" style="21" hidden="1" customWidth="1"/>
    <col min="12288" max="12288" width="45.5703125" style="21" customWidth="1"/>
    <col min="12289" max="12289" width="18.42578125" style="21" customWidth="1"/>
    <col min="12290" max="12290" width="0.5703125" style="21" customWidth="1"/>
    <col min="12291" max="12291" width="18.28515625" style="21" customWidth="1"/>
    <col min="12292" max="12541" width="11.42578125" style="21"/>
    <col min="12542" max="12542" width="2.42578125" style="21" customWidth="1"/>
    <col min="12543" max="12543" width="0" style="21" hidden="1" customWidth="1"/>
    <col min="12544" max="12544" width="45.5703125" style="21" customWidth="1"/>
    <col min="12545" max="12545" width="18.42578125" style="21" customWidth="1"/>
    <col min="12546" max="12546" width="0.5703125" style="21" customWidth="1"/>
    <col min="12547" max="12547" width="18.28515625" style="21" customWidth="1"/>
    <col min="12548" max="12797" width="11.42578125" style="21"/>
    <col min="12798" max="12798" width="2.42578125" style="21" customWidth="1"/>
    <col min="12799" max="12799" width="0" style="21" hidden="1" customWidth="1"/>
    <col min="12800" max="12800" width="45.5703125" style="21" customWidth="1"/>
    <col min="12801" max="12801" width="18.42578125" style="21" customWidth="1"/>
    <col min="12802" max="12802" width="0.5703125" style="21" customWidth="1"/>
    <col min="12803" max="12803" width="18.28515625" style="21" customWidth="1"/>
    <col min="12804" max="13053" width="11.42578125" style="21"/>
    <col min="13054" max="13054" width="2.42578125" style="21" customWidth="1"/>
    <col min="13055" max="13055" width="0" style="21" hidden="1" customWidth="1"/>
    <col min="13056" max="13056" width="45.5703125" style="21" customWidth="1"/>
    <col min="13057" max="13057" width="18.42578125" style="21" customWidth="1"/>
    <col min="13058" max="13058" width="0.5703125" style="21" customWidth="1"/>
    <col min="13059" max="13059" width="18.28515625" style="21" customWidth="1"/>
    <col min="13060" max="13309" width="11.42578125" style="21"/>
    <col min="13310" max="13310" width="2.42578125" style="21" customWidth="1"/>
    <col min="13311" max="13311" width="0" style="21" hidden="1" customWidth="1"/>
    <col min="13312" max="13312" width="45.5703125" style="21" customWidth="1"/>
    <col min="13313" max="13313" width="18.42578125" style="21" customWidth="1"/>
    <col min="13314" max="13314" width="0.5703125" style="21" customWidth="1"/>
    <col min="13315" max="13315" width="18.28515625" style="21" customWidth="1"/>
    <col min="13316" max="13565" width="11.42578125" style="21"/>
    <col min="13566" max="13566" width="2.42578125" style="21" customWidth="1"/>
    <col min="13567" max="13567" width="0" style="21" hidden="1" customWidth="1"/>
    <col min="13568" max="13568" width="45.5703125" style="21" customWidth="1"/>
    <col min="13569" max="13569" width="18.42578125" style="21" customWidth="1"/>
    <col min="13570" max="13570" width="0.5703125" style="21" customWidth="1"/>
    <col min="13571" max="13571" width="18.28515625" style="21" customWidth="1"/>
    <col min="13572" max="13821" width="11.42578125" style="21"/>
    <col min="13822" max="13822" width="2.42578125" style="21" customWidth="1"/>
    <col min="13823" max="13823" width="0" style="21" hidden="1" customWidth="1"/>
    <col min="13824" max="13824" width="45.5703125" style="21" customWidth="1"/>
    <col min="13825" max="13825" width="18.42578125" style="21" customWidth="1"/>
    <col min="13826" max="13826" width="0.5703125" style="21" customWidth="1"/>
    <col min="13827" max="13827" width="18.28515625" style="21" customWidth="1"/>
    <col min="13828" max="14077" width="11.42578125" style="21"/>
    <col min="14078" max="14078" width="2.42578125" style="21" customWidth="1"/>
    <col min="14079" max="14079" width="0" style="21" hidden="1" customWidth="1"/>
    <col min="14080" max="14080" width="45.5703125" style="21" customWidth="1"/>
    <col min="14081" max="14081" width="18.42578125" style="21" customWidth="1"/>
    <col min="14082" max="14082" width="0.5703125" style="21" customWidth="1"/>
    <col min="14083" max="14083" width="18.28515625" style="21" customWidth="1"/>
    <col min="14084" max="14333" width="11.42578125" style="21"/>
    <col min="14334" max="14334" width="2.42578125" style="21" customWidth="1"/>
    <col min="14335" max="14335" width="0" style="21" hidden="1" customWidth="1"/>
    <col min="14336" max="14336" width="45.5703125" style="21" customWidth="1"/>
    <col min="14337" max="14337" width="18.42578125" style="21" customWidth="1"/>
    <col min="14338" max="14338" width="0.5703125" style="21" customWidth="1"/>
    <col min="14339" max="14339" width="18.28515625" style="21" customWidth="1"/>
    <col min="14340" max="14589" width="11.42578125" style="21"/>
    <col min="14590" max="14590" width="2.42578125" style="21" customWidth="1"/>
    <col min="14591" max="14591" width="0" style="21" hidden="1" customWidth="1"/>
    <col min="14592" max="14592" width="45.5703125" style="21" customWidth="1"/>
    <col min="14593" max="14593" width="18.42578125" style="21" customWidth="1"/>
    <col min="14594" max="14594" width="0.5703125" style="21" customWidth="1"/>
    <col min="14595" max="14595" width="18.28515625" style="21" customWidth="1"/>
    <col min="14596" max="14845" width="11.42578125" style="21"/>
    <col min="14846" max="14846" width="2.42578125" style="21" customWidth="1"/>
    <col min="14847" max="14847" width="0" style="21" hidden="1" customWidth="1"/>
    <col min="14848" max="14848" width="45.5703125" style="21" customWidth="1"/>
    <col min="14849" max="14849" width="18.42578125" style="21" customWidth="1"/>
    <col min="14850" max="14850" width="0.5703125" style="21" customWidth="1"/>
    <col min="14851" max="14851" width="18.28515625" style="21" customWidth="1"/>
    <col min="14852" max="15101" width="11.42578125" style="21"/>
    <col min="15102" max="15102" width="2.42578125" style="21" customWidth="1"/>
    <col min="15103" max="15103" width="0" style="21" hidden="1" customWidth="1"/>
    <col min="15104" max="15104" width="45.5703125" style="21" customWidth="1"/>
    <col min="15105" max="15105" width="18.42578125" style="21" customWidth="1"/>
    <col min="15106" max="15106" width="0.5703125" style="21" customWidth="1"/>
    <col min="15107" max="15107" width="18.28515625" style="21" customWidth="1"/>
    <col min="15108" max="15357" width="11.42578125" style="21"/>
    <col min="15358" max="15358" width="2.42578125" style="21" customWidth="1"/>
    <col min="15359" max="15359" width="0" style="21" hidden="1" customWidth="1"/>
    <col min="15360" max="15360" width="45.5703125" style="21" customWidth="1"/>
    <col min="15361" max="15361" width="18.42578125" style="21" customWidth="1"/>
    <col min="15362" max="15362" width="0.5703125" style="21" customWidth="1"/>
    <col min="15363" max="15363" width="18.28515625" style="21" customWidth="1"/>
    <col min="15364" max="15613" width="11.42578125" style="21"/>
    <col min="15614" max="15614" width="2.42578125" style="21" customWidth="1"/>
    <col min="15615" max="15615" width="0" style="21" hidden="1" customWidth="1"/>
    <col min="15616" max="15616" width="45.5703125" style="21" customWidth="1"/>
    <col min="15617" max="15617" width="18.42578125" style="21" customWidth="1"/>
    <col min="15618" max="15618" width="0.5703125" style="21" customWidth="1"/>
    <col min="15619" max="15619" width="18.28515625" style="21" customWidth="1"/>
    <col min="15620" max="15869" width="11.42578125" style="21"/>
    <col min="15870" max="15870" width="2.42578125" style="21" customWidth="1"/>
    <col min="15871" max="15871" width="0" style="21" hidden="1" customWidth="1"/>
    <col min="15872" max="15872" width="45.5703125" style="21" customWidth="1"/>
    <col min="15873" max="15873" width="18.42578125" style="21" customWidth="1"/>
    <col min="15874" max="15874" width="0.5703125" style="21" customWidth="1"/>
    <col min="15875" max="15875" width="18.28515625" style="21" customWidth="1"/>
    <col min="15876" max="16125" width="11.42578125" style="21"/>
    <col min="16126" max="16126" width="2.42578125" style="21" customWidth="1"/>
    <col min="16127" max="16127" width="0" style="21" hidden="1" customWidth="1"/>
    <col min="16128" max="16128" width="45.5703125" style="21" customWidth="1"/>
    <col min="16129" max="16129" width="18.42578125" style="21" customWidth="1"/>
    <col min="16130" max="16130" width="0.5703125" style="21" customWidth="1"/>
    <col min="16131" max="16131" width="18.28515625" style="21" customWidth="1"/>
    <col min="16132" max="16384" width="11.42578125" style="21"/>
  </cols>
  <sheetData>
    <row r="4" spans="1:7" ht="22.5" customHeight="1" x14ac:dyDescent="0.25">
      <c r="B4" s="251"/>
      <c r="C4" s="251"/>
      <c r="D4" s="251"/>
    </row>
    <row r="5" spans="1:7" ht="22.5" customHeight="1" x14ac:dyDescent="0.25">
      <c r="B5" s="244" t="s">
        <v>0</v>
      </c>
      <c r="C5" s="244"/>
      <c r="D5" s="244"/>
    </row>
    <row r="6" spans="1:7" ht="22.5" customHeight="1" x14ac:dyDescent="0.25">
      <c r="B6" s="244" t="s">
        <v>1</v>
      </c>
      <c r="C6" s="244"/>
      <c r="D6" s="244"/>
    </row>
    <row r="7" spans="1:7" ht="19.5" customHeight="1" x14ac:dyDescent="0.25">
      <c r="B7" s="245" t="s">
        <v>25</v>
      </c>
      <c r="C7" s="245"/>
      <c r="D7" s="245"/>
    </row>
    <row r="8" spans="1:7" ht="18.75" customHeight="1" x14ac:dyDescent="0.25">
      <c r="A8" s="56"/>
      <c r="B8" s="245" t="s">
        <v>26</v>
      </c>
      <c r="C8" s="245"/>
      <c r="D8" s="245"/>
    </row>
    <row r="9" spans="1:7" ht="15.75" customHeight="1" x14ac:dyDescent="0.25">
      <c r="A9" s="45"/>
      <c r="B9" s="252" t="s">
        <v>20</v>
      </c>
      <c r="C9" s="252"/>
      <c r="D9" s="252"/>
    </row>
    <row r="10" spans="1:7" ht="8.25" customHeight="1" thickBot="1" x14ac:dyDescent="0.3">
      <c r="B10" s="150"/>
      <c r="C10" s="150"/>
      <c r="D10" s="150"/>
    </row>
    <row r="11" spans="1:7" ht="3" customHeight="1" thickTop="1" x14ac:dyDescent="0.25">
      <c r="B11" s="46"/>
      <c r="C11" s="46"/>
      <c r="D11" s="46"/>
    </row>
    <row r="12" spans="1:7" x14ac:dyDescent="0.25">
      <c r="B12" s="156" t="s">
        <v>27</v>
      </c>
      <c r="C12" s="179">
        <v>2023</v>
      </c>
      <c r="D12" s="179">
        <v>2022</v>
      </c>
    </row>
    <row r="13" spans="1:7" ht="17.25" x14ac:dyDescent="0.3">
      <c r="B13" s="156" t="s">
        <v>28</v>
      </c>
      <c r="C13" s="180"/>
      <c r="D13" s="180"/>
      <c r="E13" s="84"/>
      <c r="F13" s="85"/>
      <c r="G13" s="86"/>
    </row>
    <row r="14" spans="1:7" ht="17.25" x14ac:dyDescent="0.3">
      <c r="B14" s="48" t="s">
        <v>29</v>
      </c>
      <c r="C14" s="32">
        <f>'Notas Explicativas'!E60</f>
        <v>223452186.53999999</v>
      </c>
      <c r="D14" s="32">
        <f>Flujo!D66</f>
        <v>144683953.97999999</v>
      </c>
      <c r="E14" s="89"/>
      <c r="F14" s="90"/>
      <c r="G14" s="87"/>
    </row>
    <row r="15" spans="1:7" ht="17.25" x14ac:dyDescent="0.3">
      <c r="B15" s="48" t="s">
        <v>30</v>
      </c>
      <c r="C15" s="27">
        <f>'Notas Explicativas'!E110</f>
        <v>3362775.4999999995</v>
      </c>
      <c r="D15" s="27">
        <v>1969850</v>
      </c>
      <c r="E15" s="89"/>
      <c r="F15" s="90"/>
      <c r="G15" s="87"/>
    </row>
    <row r="16" spans="1:7" ht="17.25" x14ac:dyDescent="0.3">
      <c r="B16" s="48" t="s">
        <v>31</v>
      </c>
      <c r="C16" s="27">
        <v>0</v>
      </c>
      <c r="D16" s="27">
        <v>4130</v>
      </c>
      <c r="E16" s="89"/>
      <c r="F16" s="90"/>
      <c r="G16" s="87"/>
    </row>
    <row r="17" spans="2:7" ht="18" thickBot="1" x14ac:dyDescent="0.35">
      <c r="B17" s="48" t="s">
        <v>32</v>
      </c>
      <c r="C17" s="34">
        <f>'Notas Explicativas'!E118</f>
        <v>592479.09</v>
      </c>
      <c r="D17" s="34">
        <v>478046.68</v>
      </c>
      <c r="E17" s="89"/>
      <c r="F17" s="90"/>
      <c r="G17" s="87"/>
    </row>
    <row r="18" spans="2:7" ht="17.25" x14ac:dyDescent="0.3">
      <c r="B18" s="156" t="s">
        <v>33</v>
      </c>
      <c r="C18" s="49">
        <f>SUM(C14:C17)</f>
        <v>227407441.13</v>
      </c>
      <c r="D18" s="49">
        <f>SUM(D14:D17)</f>
        <v>147135980.66</v>
      </c>
      <c r="E18" s="89"/>
      <c r="F18" s="90"/>
      <c r="G18" s="87"/>
    </row>
    <row r="19" spans="2:7" ht="17.25" x14ac:dyDescent="0.3">
      <c r="B19" s="48"/>
      <c r="C19" s="31"/>
      <c r="D19" s="31"/>
      <c r="E19" s="89"/>
      <c r="F19" s="90"/>
    </row>
    <row r="20" spans="2:7" x14ac:dyDescent="0.25">
      <c r="B20" s="156" t="s">
        <v>34</v>
      </c>
      <c r="C20" s="31"/>
      <c r="D20" s="31"/>
    </row>
    <row r="21" spans="2:7" ht="17.25" x14ac:dyDescent="0.3">
      <c r="B21" s="48" t="s">
        <v>35</v>
      </c>
      <c r="C21" s="32">
        <v>84344302.849999994</v>
      </c>
      <c r="D21" s="32">
        <v>85098547</v>
      </c>
      <c r="E21" s="89"/>
      <c r="F21" s="90"/>
      <c r="G21" s="87"/>
    </row>
    <row r="22" spans="2:7" ht="18" thickBot="1" x14ac:dyDescent="0.35">
      <c r="B22" s="48" t="s">
        <v>36</v>
      </c>
      <c r="C22" s="27" t="e">
        <f>'Notas Explicativas'!#REF!</f>
        <v>#REF!</v>
      </c>
      <c r="D22" s="27">
        <v>270840.98</v>
      </c>
      <c r="E22" s="89"/>
      <c r="F22" s="90"/>
      <c r="G22" s="87"/>
    </row>
    <row r="23" spans="2:7" ht="16.5" thickBot="1" x14ac:dyDescent="0.3">
      <c r="B23" s="156" t="s">
        <v>37</v>
      </c>
      <c r="C23" s="50" t="e">
        <f>SUM(C21:C22)</f>
        <v>#REF!</v>
      </c>
      <c r="D23" s="50">
        <f>SUM(D21:D22)</f>
        <v>85369387.980000004</v>
      </c>
      <c r="F23" s="88"/>
    </row>
    <row r="24" spans="2:7" ht="19.5" customHeight="1" thickBot="1" x14ac:dyDescent="0.3">
      <c r="B24" s="156" t="s">
        <v>38</v>
      </c>
      <c r="C24" s="51" t="e">
        <f>C18+C23</f>
        <v>#REF!</v>
      </c>
      <c r="D24" s="51">
        <f>D18+D23</f>
        <v>232505368.63999999</v>
      </c>
    </row>
    <row r="25" spans="2:7" ht="16.5" thickTop="1" x14ac:dyDescent="0.25">
      <c r="B25" s="48"/>
      <c r="C25" s="31"/>
      <c r="D25" s="31"/>
    </row>
    <row r="26" spans="2:7" x14ac:dyDescent="0.25">
      <c r="B26" s="156" t="s">
        <v>39</v>
      </c>
      <c r="C26" s="31"/>
      <c r="D26" s="31"/>
    </row>
    <row r="27" spans="2:7" x14ac:dyDescent="0.25">
      <c r="B27" s="156" t="s">
        <v>40</v>
      </c>
      <c r="C27" s="31"/>
      <c r="D27" s="31"/>
      <c r="F27" s="88"/>
    </row>
    <row r="28" spans="2:7" ht="17.25" x14ac:dyDescent="0.3">
      <c r="B28" s="48" t="s">
        <v>41</v>
      </c>
      <c r="C28" s="27">
        <v>238218.58</v>
      </c>
      <c r="D28" s="27">
        <v>123051.06</v>
      </c>
      <c r="E28" s="89"/>
      <c r="F28" s="90"/>
      <c r="G28" s="92"/>
    </row>
    <row r="29" spans="2:7" ht="17.25" x14ac:dyDescent="0.3">
      <c r="B29" s="48" t="s">
        <v>42</v>
      </c>
      <c r="C29" s="27">
        <f>'Notas Explicativas'!E191</f>
        <v>22883.54</v>
      </c>
      <c r="D29" s="27">
        <v>3273</v>
      </c>
      <c r="E29" s="89"/>
      <c r="F29" s="90"/>
      <c r="G29" s="92"/>
    </row>
    <row r="30" spans="2:7" ht="18" thickBot="1" x14ac:dyDescent="0.35">
      <c r="B30" s="48" t="s">
        <v>43</v>
      </c>
      <c r="C30" s="34">
        <v>462692.16</v>
      </c>
      <c r="D30" s="34">
        <v>462692.16</v>
      </c>
      <c r="E30" s="89"/>
      <c r="F30" s="90"/>
      <c r="G30" s="92"/>
    </row>
    <row r="31" spans="2:7" x14ac:dyDescent="0.25">
      <c r="B31" s="156" t="s">
        <v>44</v>
      </c>
      <c r="C31" s="49">
        <f>SUM(C28:C30)</f>
        <v>723794.28</v>
      </c>
      <c r="D31" s="49">
        <f>SUM(D28:D30)</f>
        <v>589016.22</v>
      </c>
      <c r="F31" s="88"/>
    </row>
    <row r="32" spans="2:7" x14ac:dyDescent="0.25">
      <c r="B32" s="156" t="s">
        <v>45</v>
      </c>
      <c r="C32" s="49">
        <f>SUM(C31)</f>
        <v>723794.28</v>
      </c>
      <c r="D32" s="49">
        <f>SUM(D31)</f>
        <v>589016.22</v>
      </c>
    </row>
    <row r="33" spans="1:7" x14ac:dyDescent="0.25">
      <c r="B33" s="48"/>
      <c r="C33" s="31"/>
      <c r="D33" s="31"/>
      <c r="F33" s="88"/>
    </row>
    <row r="34" spans="1:7" x14ac:dyDescent="0.25">
      <c r="B34" s="156" t="s">
        <v>46</v>
      </c>
      <c r="C34" s="31"/>
      <c r="D34" s="31"/>
      <c r="F34" s="88"/>
    </row>
    <row r="35" spans="1:7" ht="17.25" x14ac:dyDescent="0.3">
      <c r="B35" s="48" t="s">
        <v>47</v>
      </c>
      <c r="C35" s="27">
        <v>8745735</v>
      </c>
      <c r="D35" s="27">
        <v>8745735</v>
      </c>
      <c r="E35" s="89"/>
      <c r="F35" s="90"/>
      <c r="G35" s="92"/>
    </row>
    <row r="36" spans="1:7" ht="17.25" x14ac:dyDescent="0.3">
      <c r="B36" s="48" t="s">
        <v>48</v>
      </c>
      <c r="C36" s="27">
        <f>Rendimiento!C30</f>
        <v>49348531.569999993</v>
      </c>
      <c r="D36" s="27">
        <v>35883866</v>
      </c>
      <c r="E36" s="89"/>
      <c r="F36" s="178"/>
      <c r="G36" s="92"/>
    </row>
    <row r="37" spans="1:7" ht="18" thickBot="1" x14ac:dyDescent="0.35">
      <c r="B37" s="48" t="s">
        <v>49</v>
      </c>
      <c r="C37" s="34">
        <v>223170618</v>
      </c>
      <c r="D37" s="34">
        <v>187286752</v>
      </c>
      <c r="E37" s="89"/>
      <c r="F37" s="90"/>
      <c r="G37" s="92"/>
    </row>
    <row r="38" spans="1:7" ht="16.5" thickBot="1" x14ac:dyDescent="0.3">
      <c r="B38" s="156" t="s">
        <v>50</v>
      </c>
      <c r="C38" s="52">
        <f>SUM(C35:C37)</f>
        <v>281264884.56999999</v>
      </c>
      <c r="D38" s="52">
        <f>SUM(D35:D37)</f>
        <v>231916353</v>
      </c>
    </row>
    <row r="39" spans="1:7" ht="16.5" thickBot="1" x14ac:dyDescent="0.3">
      <c r="B39" s="156" t="s">
        <v>51</v>
      </c>
      <c r="C39" s="53">
        <f>C38+C32</f>
        <v>281988678.84999996</v>
      </c>
      <c r="D39" s="53">
        <f>D38+D32</f>
        <v>232505369.22</v>
      </c>
      <c r="E39" s="88"/>
      <c r="F39" s="88"/>
    </row>
    <row r="40" spans="1:7" ht="16.5" thickTop="1" x14ac:dyDescent="0.25"/>
    <row r="41" spans="1:7" ht="24" customHeight="1" x14ac:dyDescent="0.3">
      <c r="A41" s="243"/>
      <c r="B41" s="243"/>
      <c r="C41" s="54"/>
      <c r="D41" s="41"/>
    </row>
    <row r="42" spans="1:7" ht="18.75" x14ac:dyDescent="0.3">
      <c r="B42" s="40" t="s">
        <v>359</v>
      </c>
      <c r="C42" s="41" t="s">
        <v>365</v>
      </c>
      <c r="D42" s="41"/>
    </row>
    <row r="43" spans="1:7" ht="18.75" x14ac:dyDescent="0.3">
      <c r="B43" s="43" t="s">
        <v>272</v>
      </c>
      <c r="C43" s="42" t="s">
        <v>367</v>
      </c>
      <c r="D43" s="41"/>
    </row>
    <row r="44" spans="1:7" ht="18.75" x14ac:dyDescent="0.3">
      <c r="B44" s="44"/>
      <c r="C44" s="44"/>
      <c r="D44" s="21"/>
    </row>
    <row r="45" spans="1:7" ht="18.75" x14ac:dyDescent="0.3">
      <c r="B45" s="55"/>
      <c r="C45" s="44"/>
      <c r="D45" s="21"/>
    </row>
    <row r="46" spans="1:7" ht="18.75" x14ac:dyDescent="0.3">
      <c r="B46" s="40" t="s">
        <v>273</v>
      </c>
      <c r="C46" s="253" t="s">
        <v>366</v>
      </c>
      <c r="D46" s="253"/>
      <c r="E46" s="83" t="s">
        <v>52</v>
      </c>
    </row>
    <row r="47" spans="1:7" ht="18.75" x14ac:dyDescent="0.3">
      <c r="B47" s="43" t="s">
        <v>274</v>
      </c>
      <c r="C47" s="250" t="s">
        <v>275</v>
      </c>
      <c r="D47" s="250"/>
    </row>
    <row r="48" spans="1:7" ht="15" x14ac:dyDescent="0.25">
      <c r="C48" s="21"/>
      <c r="D48" s="21"/>
    </row>
  </sheetData>
  <mergeCells count="9">
    <mergeCell ref="C47:D47"/>
    <mergeCell ref="B7:D7"/>
    <mergeCell ref="B8:D8"/>
    <mergeCell ref="B4:D4"/>
    <mergeCell ref="B9:D9"/>
    <mergeCell ref="A41:B41"/>
    <mergeCell ref="C46:D46"/>
    <mergeCell ref="B5:D5"/>
    <mergeCell ref="B6:D6"/>
  </mergeCells>
  <pageMargins left="0.70866141732283472" right="0.70866141732283472" top="0.74803149606299213" bottom="0.74803149606299213" header="0.31496062992125984" footer="0.31496062992125984"/>
  <pageSetup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P37"/>
  <sheetViews>
    <sheetView workbookViewId="0">
      <selection activeCell="E35" sqref="E35"/>
    </sheetView>
  </sheetViews>
  <sheetFormatPr baseColWidth="10" defaultColWidth="10.85546875" defaultRowHeight="15" x14ac:dyDescent="0.25"/>
  <cols>
    <col min="1" max="1" width="7.7109375" style="21" customWidth="1"/>
    <col min="2" max="2" width="48.5703125" style="126" customWidth="1"/>
    <col min="3" max="3" width="16" style="21" customWidth="1"/>
    <col min="4" max="4" width="19" style="21" customWidth="1"/>
    <col min="5" max="5" width="18.28515625" style="21" customWidth="1"/>
    <col min="6" max="6" width="18.140625" style="21" customWidth="1"/>
    <col min="7" max="7" width="22" style="21" customWidth="1"/>
    <col min="8" max="16384" width="10.85546875" style="21"/>
  </cols>
  <sheetData>
    <row r="5" spans="2:16" x14ac:dyDescent="0.25">
      <c r="B5" s="154"/>
      <c r="C5" s="151"/>
      <c r="D5" s="151"/>
      <c r="E5" s="151"/>
      <c r="F5" s="151"/>
      <c r="G5" s="151"/>
    </row>
    <row r="6" spans="2:16" ht="15.75" x14ac:dyDescent="0.25">
      <c r="B6" s="247" t="s">
        <v>0</v>
      </c>
      <c r="C6" s="247"/>
      <c r="D6" s="247"/>
      <c r="E6" s="247"/>
      <c r="F6" s="247"/>
      <c r="G6" s="247"/>
    </row>
    <row r="7" spans="2:16" ht="15.75" x14ac:dyDescent="0.25">
      <c r="B7" s="255" t="s">
        <v>1</v>
      </c>
      <c r="C7" s="255"/>
      <c r="D7" s="255"/>
      <c r="E7" s="255"/>
      <c r="F7" s="255"/>
      <c r="G7" s="255"/>
    </row>
    <row r="8" spans="2:16" ht="15.75" x14ac:dyDescent="0.25">
      <c r="B8" s="255" t="s">
        <v>279</v>
      </c>
      <c r="C8" s="255"/>
      <c r="D8" s="255"/>
      <c r="E8" s="255"/>
      <c r="F8" s="255"/>
      <c r="G8" s="255"/>
    </row>
    <row r="9" spans="2:16" ht="15.75" x14ac:dyDescent="0.25">
      <c r="B9" s="255" t="s">
        <v>21</v>
      </c>
      <c r="C9" s="255"/>
      <c r="D9" s="255"/>
      <c r="E9" s="255"/>
      <c r="F9" s="255"/>
      <c r="G9" s="255"/>
    </row>
    <row r="10" spans="2:16" ht="15.75" x14ac:dyDescent="0.25">
      <c r="B10" s="255" t="s">
        <v>20</v>
      </c>
      <c r="C10" s="255"/>
      <c r="D10" s="255"/>
      <c r="E10" s="255"/>
      <c r="F10" s="255"/>
      <c r="G10" s="255"/>
    </row>
    <row r="11" spans="2:16" ht="16.5" thickBot="1" x14ac:dyDescent="0.3">
      <c r="B11" s="100"/>
      <c r="C11" s="102"/>
      <c r="D11" s="101"/>
      <c r="E11" s="102"/>
      <c r="F11" s="102"/>
      <c r="G11" s="103"/>
    </row>
    <row r="12" spans="2:16" ht="45.75" thickBot="1" x14ac:dyDescent="0.3">
      <c r="B12" s="104" t="s">
        <v>306</v>
      </c>
      <c r="C12" s="104" t="s">
        <v>334</v>
      </c>
      <c r="D12" s="104" t="s">
        <v>335</v>
      </c>
      <c r="E12" s="104" t="s">
        <v>336</v>
      </c>
      <c r="F12" s="104" t="s">
        <v>189</v>
      </c>
      <c r="G12" s="105" t="s">
        <v>337</v>
      </c>
    </row>
    <row r="13" spans="2:16" ht="15.75" x14ac:dyDescent="0.25">
      <c r="B13" s="100"/>
      <c r="C13" s="63"/>
      <c r="D13" s="101"/>
      <c r="F13" s="63"/>
      <c r="G13" s="63"/>
    </row>
    <row r="14" spans="2:16" x14ac:dyDescent="0.25">
      <c r="B14" s="106"/>
      <c r="C14" s="107"/>
      <c r="D14" s="107"/>
      <c r="E14" s="107"/>
      <c r="F14" s="107"/>
      <c r="G14" s="107"/>
      <c r="K14" s="254"/>
      <c r="L14" s="254"/>
      <c r="M14" s="254"/>
      <c r="N14" s="254"/>
      <c r="O14" s="254"/>
      <c r="P14" s="254"/>
    </row>
    <row r="15" spans="2:16" s="110" customFormat="1" ht="15.75" x14ac:dyDescent="0.25">
      <c r="B15" s="108" t="s">
        <v>280</v>
      </c>
      <c r="C15" s="109">
        <v>8745735</v>
      </c>
      <c r="D15" s="109">
        <v>0</v>
      </c>
      <c r="E15" s="109">
        <v>0</v>
      </c>
      <c r="F15" s="109">
        <v>187286752</v>
      </c>
      <c r="G15" s="109">
        <f>+C15+D15+E15+F15</f>
        <v>196032487</v>
      </c>
    </row>
    <row r="16" spans="2:16" x14ac:dyDescent="0.25">
      <c r="B16" s="111" t="s">
        <v>281</v>
      </c>
      <c r="C16" s="112"/>
      <c r="D16" s="113">
        <v>0</v>
      </c>
      <c r="E16" s="114"/>
      <c r="F16" s="115"/>
      <c r="G16" s="113">
        <f>+D16</f>
        <v>0</v>
      </c>
    </row>
    <row r="17" spans="2:7" ht="19.5" customHeight="1" x14ac:dyDescent="0.25">
      <c r="B17" s="111" t="s">
        <v>282</v>
      </c>
      <c r="C17" s="112"/>
      <c r="D17" s="112"/>
      <c r="E17" s="114"/>
      <c r="F17" s="113">
        <v>0</v>
      </c>
      <c r="G17" s="113">
        <f>+F17</f>
        <v>0</v>
      </c>
    </row>
    <row r="18" spans="2:7" x14ac:dyDescent="0.25">
      <c r="B18" s="116" t="s">
        <v>283</v>
      </c>
      <c r="C18" s="117"/>
      <c r="D18" s="117"/>
      <c r="E18" s="118"/>
      <c r="F18" s="119">
        <v>-10000000</v>
      </c>
      <c r="G18" s="119">
        <v>-10000000</v>
      </c>
    </row>
    <row r="19" spans="2:7" x14ac:dyDescent="0.25">
      <c r="B19" s="116" t="s">
        <v>284</v>
      </c>
      <c r="C19" s="120"/>
      <c r="D19" s="120"/>
      <c r="E19" s="120"/>
      <c r="F19" s="120">
        <v>45883866</v>
      </c>
      <c r="G19" s="120">
        <v>45883866</v>
      </c>
    </row>
    <row r="20" spans="2:7" s="110" customFormat="1" ht="15.75" x14ac:dyDescent="0.25">
      <c r="B20" s="108" t="s">
        <v>285</v>
      </c>
      <c r="C20" s="109">
        <f>SUM(C15:C19)</f>
        <v>8745735</v>
      </c>
      <c r="D20" s="109">
        <f>SUM(D15:D19)</f>
        <v>0</v>
      </c>
      <c r="E20" s="109">
        <f>SUM(E15:E19)</f>
        <v>0</v>
      </c>
      <c r="F20" s="109">
        <f>SUM(F15:F19)</f>
        <v>223170618</v>
      </c>
      <c r="G20" s="109">
        <f>SUM(G15:G19)</f>
        <v>231916353</v>
      </c>
    </row>
    <row r="21" spans="2:7" x14ac:dyDescent="0.25">
      <c r="B21" s="116" t="s">
        <v>281</v>
      </c>
      <c r="C21" s="113"/>
      <c r="D21" s="113">
        <v>0</v>
      </c>
      <c r="E21" s="113"/>
      <c r="F21" s="113"/>
      <c r="G21" s="113"/>
    </row>
    <row r="22" spans="2:7" ht="21" customHeight="1" x14ac:dyDescent="0.25">
      <c r="B22" s="116" t="s">
        <v>282</v>
      </c>
      <c r="C22" s="113"/>
      <c r="D22" s="113"/>
      <c r="E22" s="113"/>
      <c r="F22" s="113"/>
      <c r="G22" s="113">
        <f>+E22</f>
        <v>0</v>
      </c>
    </row>
    <row r="23" spans="2:7" ht="30" x14ac:dyDescent="0.25">
      <c r="B23" s="116" t="s">
        <v>286</v>
      </c>
      <c r="C23" s="113"/>
      <c r="D23" s="113"/>
      <c r="E23" s="113">
        <f ca="1">-E23+F23</f>
        <v>0</v>
      </c>
      <c r="F23" s="113">
        <v>0</v>
      </c>
      <c r="G23" s="113">
        <f ca="1">+E23-F23</f>
        <v>0</v>
      </c>
    </row>
    <row r="24" spans="2:7" x14ac:dyDescent="0.25">
      <c r="B24" s="116" t="s">
        <v>283</v>
      </c>
      <c r="C24" s="119"/>
      <c r="D24" s="119"/>
      <c r="E24" s="119"/>
      <c r="F24" s="119">
        <v>0</v>
      </c>
      <c r="G24" s="119">
        <f>+F24</f>
        <v>0</v>
      </c>
    </row>
    <row r="25" spans="2:7" x14ac:dyDescent="0.25">
      <c r="B25" s="116" t="s">
        <v>284</v>
      </c>
      <c r="C25" s="121" t="s">
        <v>287</v>
      </c>
      <c r="D25" s="122" t="s">
        <v>287</v>
      </c>
      <c r="E25" s="120" t="s">
        <v>287</v>
      </c>
      <c r="F25" s="120">
        <f>Situacion!C36</f>
        <v>49348531.569999993</v>
      </c>
      <c r="G25" s="120">
        <f>+F25</f>
        <v>49348531.569999993</v>
      </c>
    </row>
    <row r="26" spans="2:7" ht="16.5" thickBot="1" x14ac:dyDescent="0.3">
      <c r="B26" s="108" t="s">
        <v>288</v>
      </c>
      <c r="C26" s="78">
        <f>+C20</f>
        <v>8745735</v>
      </c>
      <c r="D26" s="78">
        <f>SUM(D21:D25)</f>
        <v>0</v>
      </c>
      <c r="E26" s="78">
        <f ca="1">SUM(E22:E25)</f>
        <v>0</v>
      </c>
      <c r="F26" s="78">
        <f>SUM(F20:F25)</f>
        <v>272519149.56999999</v>
      </c>
      <c r="G26" s="78">
        <f>G20+G25</f>
        <v>281264884.56999999</v>
      </c>
    </row>
    <row r="27" spans="2:7" ht="15.75" thickTop="1" x14ac:dyDescent="0.25">
      <c r="B27" s="123"/>
      <c r="G27" s="77"/>
    </row>
    <row r="28" spans="2:7" x14ac:dyDescent="0.25">
      <c r="B28" s="123"/>
      <c r="G28" s="77"/>
    </row>
    <row r="29" spans="2:7" ht="25.5" customHeight="1" x14ac:dyDescent="0.25"/>
    <row r="30" spans="2:7" ht="18.75" x14ac:dyDescent="0.3">
      <c r="B30" s="40" t="s">
        <v>356</v>
      </c>
      <c r="E30" s="99" t="s">
        <v>358</v>
      </c>
      <c r="F30" s="99"/>
      <c r="G30" s="99"/>
    </row>
    <row r="31" spans="2:7" ht="18.75" x14ac:dyDescent="0.3">
      <c r="B31" s="82" t="s">
        <v>289</v>
      </c>
      <c r="E31" s="173" t="s">
        <v>368</v>
      </c>
      <c r="F31" s="173"/>
      <c r="G31" s="173"/>
    </row>
    <row r="32" spans="2:7" ht="18.75" x14ac:dyDescent="0.3">
      <c r="B32" s="44"/>
      <c r="C32" s="44"/>
      <c r="D32" s="44"/>
    </row>
    <row r="33" spans="2:7" ht="52.5" customHeight="1" x14ac:dyDescent="0.3">
      <c r="B33" s="81" t="s">
        <v>10</v>
      </c>
      <c r="C33" s="44"/>
      <c r="D33" s="44"/>
      <c r="F33" s="243" t="s">
        <v>357</v>
      </c>
      <c r="G33" s="243"/>
    </row>
    <row r="34" spans="2:7" ht="18.75" x14ac:dyDescent="0.3">
      <c r="B34" s="82" t="s">
        <v>4</v>
      </c>
      <c r="F34" s="250" t="s">
        <v>341</v>
      </c>
      <c r="G34" s="250"/>
    </row>
    <row r="36" spans="2:7" x14ac:dyDescent="0.25">
      <c r="B36" s="21"/>
    </row>
    <row r="37" spans="2:7" ht="15.75" x14ac:dyDescent="0.25">
      <c r="B37" s="21"/>
      <c r="C37" s="124"/>
      <c r="D37" s="125"/>
      <c r="E37" s="39"/>
    </row>
  </sheetData>
  <mergeCells count="8">
    <mergeCell ref="F33:G33"/>
    <mergeCell ref="F34:G34"/>
    <mergeCell ref="B6:G6"/>
    <mergeCell ref="K14:P14"/>
    <mergeCell ref="B7:G7"/>
    <mergeCell ref="B8:G8"/>
    <mergeCell ref="B9:G9"/>
    <mergeCell ref="B10:G10"/>
  </mergeCells>
  <pageMargins left="0.70866141732283472" right="0.70866141732283472" top="0.74803149606299213" bottom="0.74803149606299213" header="0.31496062992125984" footer="0.31496062992125984"/>
  <pageSetup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O48"/>
  <sheetViews>
    <sheetView topLeftCell="A26" workbookViewId="0">
      <selection activeCell="E50" sqref="E50"/>
    </sheetView>
  </sheetViews>
  <sheetFormatPr baseColWidth="10" defaultColWidth="10.85546875" defaultRowHeight="15" x14ac:dyDescent="0.25"/>
  <cols>
    <col min="1" max="1" width="1.42578125" style="21" customWidth="1"/>
    <col min="2" max="2" width="4.28515625" style="21" customWidth="1"/>
    <col min="3" max="3" width="41" style="21" customWidth="1"/>
    <col min="4" max="4" width="19.28515625" style="97" customWidth="1"/>
    <col min="5" max="5" width="19.28515625" style="21" customWidth="1"/>
    <col min="6" max="6" width="12.7109375" style="21" customWidth="1"/>
    <col min="7" max="7" width="21.85546875" style="97" customWidth="1"/>
    <col min="8" max="8" width="10.85546875" style="21"/>
    <col min="9" max="9" width="19.7109375" style="21" customWidth="1"/>
    <col min="10" max="16384" width="10.85546875" style="21"/>
  </cols>
  <sheetData>
    <row r="7" spans="1:9" ht="15.75" x14ac:dyDescent="0.25">
      <c r="A7" s="247" t="s">
        <v>0</v>
      </c>
      <c r="B7" s="247"/>
      <c r="C7" s="247"/>
      <c r="D7" s="247"/>
      <c r="E7" s="247"/>
      <c r="F7" s="247"/>
      <c r="G7" s="247"/>
      <c r="H7" s="247"/>
    </row>
    <row r="8" spans="1:9" ht="15.75" x14ac:dyDescent="0.25">
      <c r="A8" s="247" t="s">
        <v>1</v>
      </c>
      <c r="B8" s="247"/>
      <c r="C8" s="247"/>
      <c r="D8" s="247"/>
      <c r="E8" s="247"/>
      <c r="F8" s="247"/>
      <c r="G8" s="247"/>
      <c r="H8" s="247"/>
    </row>
    <row r="9" spans="1:9" x14ac:dyDescent="0.25">
      <c r="A9" s="151"/>
      <c r="B9" s="151"/>
      <c r="C9" s="151"/>
      <c r="D9" s="152"/>
      <c r="E9" s="151"/>
      <c r="F9" s="151"/>
      <c r="G9" s="152"/>
      <c r="H9" s="151"/>
    </row>
    <row r="10" spans="1:9" x14ac:dyDescent="0.25">
      <c r="A10" s="151"/>
      <c r="B10" s="257" t="s">
        <v>24</v>
      </c>
      <c r="C10" s="257"/>
      <c r="D10" s="257"/>
      <c r="E10" s="257"/>
      <c r="F10" s="257"/>
      <c r="G10" s="257"/>
      <c r="H10" s="153"/>
      <c r="I10" s="93"/>
    </row>
    <row r="11" spans="1:9" x14ac:dyDescent="0.25">
      <c r="A11" s="151"/>
      <c r="B11" s="257" t="s">
        <v>293</v>
      </c>
      <c r="C11" s="257"/>
      <c r="D11" s="257"/>
      <c r="E11" s="257"/>
      <c r="F11" s="257"/>
      <c r="G11" s="257"/>
      <c r="H11" s="153"/>
      <c r="I11" s="93"/>
    </row>
    <row r="12" spans="1:9" x14ac:dyDescent="0.25">
      <c r="A12" s="151"/>
      <c r="B12" s="257" t="s">
        <v>294</v>
      </c>
      <c r="C12" s="257"/>
      <c r="D12" s="257"/>
      <c r="E12" s="257"/>
      <c r="F12" s="257"/>
      <c r="G12" s="257"/>
      <c r="H12" s="153"/>
      <c r="I12" s="93"/>
    </row>
    <row r="13" spans="1:9" x14ac:dyDescent="0.25">
      <c r="A13" s="151"/>
      <c r="B13" s="257" t="s">
        <v>295</v>
      </c>
      <c r="C13" s="257"/>
      <c r="D13" s="257"/>
      <c r="E13" s="257"/>
      <c r="F13" s="257"/>
      <c r="G13" s="257"/>
      <c r="H13" s="153"/>
      <c r="I13" s="94"/>
    </row>
    <row r="14" spans="1:9" x14ac:dyDescent="0.25">
      <c r="B14" s="95"/>
      <c r="C14" s="95"/>
      <c r="D14" s="95"/>
      <c r="E14" s="95"/>
      <c r="F14" s="95"/>
      <c r="G14" s="96"/>
      <c r="H14" s="94"/>
      <c r="I14" s="94"/>
    </row>
    <row r="15" spans="1:9" x14ac:dyDescent="0.25">
      <c r="B15" s="258"/>
      <c r="C15" s="258"/>
      <c r="D15" s="258"/>
      <c r="E15" s="258"/>
      <c r="F15" s="258"/>
      <c r="G15" s="258"/>
      <c r="H15" s="258"/>
      <c r="I15" s="258"/>
    </row>
    <row r="16" spans="1:9" ht="63" x14ac:dyDescent="0.25">
      <c r="B16" s="256" t="s">
        <v>306</v>
      </c>
      <c r="C16" s="256"/>
      <c r="D16" s="165" t="s">
        <v>307</v>
      </c>
      <c r="E16" s="166" t="s">
        <v>308</v>
      </c>
      <c r="F16" s="166" t="s">
        <v>330</v>
      </c>
      <c r="G16" s="165" t="s">
        <v>329</v>
      </c>
    </row>
    <row r="17" spans="2:15" ht="15.75" x14ac:dyDescent="0.25">
      <c r="B17" s="157">
        <v>1</v>
      </c>
      <c r="C17" s="158" t="s">
        <v>309</v>
      </c>
      <c r="D17" s="181">
        <v>354471619.12</v>
      </c>
      <c r="E17" s="181">
        <f>SUM(E18:E26)</f>
        <v>289851009</v>
      </c>
      <c r="F17" s="181">
        <f>SUM(F18:F26)</f>
        <v>0.81339659777498974</v>
      </c>
      <c r="G17" s="181">
        <f>D17-E17</f>
        <v>64620610.120000005</v>
      </c>
      <c r="I17" s="79"/>
    </row>
    <row r="18" spans="2:15" x14ac:dyDescent="0.25">
      <c r="B18" s="159">
        <v>1.1000000000000001</v>
      </c>
      <c r="C18" s="160" t="s">
        <v>310</v>
      </c>
      <c r="D18" s="147" t="s">
        <v>242</v>
      </c>
      <c r="E18" s="147" t="s">
        <v>242</v>
      </c>
      <c r="F18" s="147" t="s">
        <v>242</v>
      </c>
      <c r="G18" s="147" t="s">
        <v>242</v>
      </c>
      <c r="I18" s="79"/>
    </row>
    <row r="19" spans="2:15" x14ac:dyDescent="0.25">
      <c r="B19" s="159">
        <v>1.2</v>
      </c>
      <c r="C19" s="160" t="s">
        <v>311</v>
      </c>
      <c r="D19" s="147" t="s">
        <v>242</v>
      </c>
      <c r="E19" s="147" t="s">
        <v>242</v>
      </c>
      <c r="F19" s="147" t="s">
        <v>242</v>
      </c>
      <c r="G19" s="147" t="s">
        <v>242</v>
      </c>
      <c r="I19" s="79"/>
    </row>
    <row r="20" spans="2:15" x14ac:dyDescent="0.25">
      <c r="B20" s="159">
        <v>1.3</v>
      </c>
      <c r="C20" s="160" t="s">
        <v>312</v>
      </c>
      <c r="D20" s="147" t="s">
        <v>242</v>
      </c>
      <c r="E20" s="182">
        <v>1525000</v>
      </c>
      <c r="F20" s="147" t="s">
        <v>242</v>
      </c>
      <c r="G20" s="182">
        <v>1525000</v>
      </c>
      <c r="I20" s="79"/>
    </row>
    <row r="21" spans="2:15" x14ac:dyDescent="0.25">
      <c r="B21" s="159">
        <v>1.4</v>
      </c>
      <c r="C21" s="160" t="s">
        <v>313</v>
      </c>
      <c r="D21" s="182">
        <f>288326009+45291110.12+17200000+3654500</f>
        <v>354471619.12</v>
      </c>
      <c r="E21" s="182">
        <v>288326009</v>
      </c>
      <c r="F21" s="182">
        <f>SUM(E21/D21)</f>
        <v>0.81339659777498974</v>
      </c>
      <c r="G21" s="182">
        <v>288326009</v>
      </c>
    </row>
    <row r="22" spans="2:15" x14ac:dyDescent="0.25">
      <c r="B22" s="159">
        <v>1.5</v>
      </c>
      <c r="C22" s="160" t="s">
        <v>314</v>
      </c>
      <c r="D22" s="147" t="s">
        <v>242</v>
      </c>
      <c r="E22" s="147" t="s">
        <v>242</v>
      </c>
      <c r="F22" s="147" t="s">
        <v>242</v>
      </c>
      <c r="G22" s="147" t="s">
        <v>242</v>
      </c>
    </row>
    <row r="23" spans="2:15" x14ac:dyDescent="0.25">
      <c r="B23" s="159">
        <v>1.6</v>
      </c>
      <c r="C23" s="160" t="s">
        <v>315</v>
      </c>
      <c r="D23" s="147" t="s">
        <v>242</v>
      </c>
      <c r="E23" s="147" t="s">
        <v>242</v>
      </c>
      <c r="F23" s="147" t="s">
        <v>242</v>
      </c>
      <c r="G23" s="147" t="s">
        <v>242</v>
      </c>
      <c r="J23" s="259"/>
      <c r="K23" s="259"/>
      <c r="L23" s="259"/>
      <c r="M23" s="259"/>
    </row>
    <row r="24" spans="2:15" x14ac:dyDescent="0.25">
      <c r="B24" s="159">
        <v>1.7</v>
      </c>
      <c r="C24" s="160" t="s">
        <v>316</v>
      </c>
      <c r="D24" s="147" t="s">
        <v>242</v>
      </c>
      <c r="E24" s="147" t="s">
        <v>242</v>
      </c>
      <c r="F24" s="147" t="s">
        <v>242</v>
      </c>
      <c r="G24" s="147" t="s">
        <v>242</v>
      </c>
      <c r="J24" s="259"/>
      <c r="K24" s="259"/>
      <c r="L24" s="259"/>
      <c r="M24" s="259"/>
      <c r="N24" s="259"/>
    </row>
    <row r="25" spans="2:15" x14ac:dyDescent="0.25">
      <c r="B25" s="159">
        <v>1.8</v>
      </c>
      <c r="C25" s="160" t="s">
        <v>317</v>
      </c>
      <c r="D25" s="147" t="s">
        <v>242</v>
      </c>
      <c r="E25" s="147" t="s">
        <v>242</v>
      </c>
      <c r="F25" s="147" t="s">
        <v>242</v>
      </c>
      <c r="G25" s="147" t="s">
        <v>242</v>
      </c>
      <c r="J25" s="260"/>
      <c r="K25" s="260"/>
      <c r="L25" s="260"/>
      <c r="M25" s="260"/>
      <c r="N25" s="260"/>
      <c r="O25" s="260"/>
    </row>
    <row r="26" spans="2:15" x14ac:dyDescent="0.25">
      <c r="B26" s="159">
        <v>1.9</v>
      </c>
      <c r="C26" s="160" t="s">
        <v>318</v>
      </c>
      <c r="D26" s="147" t="s">
        <v>242</v>
      </c>
      <c r="E26" s="147" t="s">
        <v>242</v>
      </c>
      <c r="F26" s="147" t="s">
        <v>242</v>
      </c>
      <c r="G26" s="147" t="s">
        <v>242</v>
      </c>
    </row>
    <row r="27" spans="2:15" ht="15.75" x14ac:dyDescent="0.25">
      <c r="B27" s="157">
        <v>2</v>
      </c>
      <c r="C27" s="158" t="s">
        <v>319</v>
      </c>
      <c r="D27" s="181">
        <f>SUM(D28:D36)</f>
        <v>354471619.12</v>
      </c>
      <c r="E27" s="181">
        <f>SUM(E28:E36)</f>
        <v>236199703.79000002</v>
      </c>
      <c r="F27" s="181">
        <f>SUM(F28:F36)</f>
        <v>2.6024592135911608</v>
      </c>
      <c r="G27" s="181">
        <f>SUM(G28:G36)</f>
        <v>118371567.33000001</v>
      </c>
    </row>
    <row r="28" spans="2:15" x14ac:dyDescent="0.25">
      <c r="B28" s="159">
        <v>2.1</v>
      </c>
      <c r="C28" s="160" t="s">
        <v>320</v>
      </c>
      <c r="D28" s="183">
        <v>88810445</v>
      </c>
      <c r="E28" s="183">
        <v>75444704.670000002</v>
      </c>
      <c r="F28" s="182">
        <f>SUM(E28/D28)</f>
        <v>0.84950260827991575</v>
      </c>
      <c r="G28" s="182">
        <f>SUM(D28-E28)</f>
        <v>13365740.329999998</v>
      </c>
    </row>
    <row r="29" spans="2:15" x14ac:dyDescent="0.25">
      <c r="B29" s="159">
        <v>2.2000000000000002</v>
      </c>
      <c r="C29" s="160" t="s">
        <v>321</v>
      </c>
      <c r="D29" s="183">
        <v>68493289.329999998</v>
      </c>
      <c r="E29" s="183">
        <v>19579968</v>
      </c>
      <c r="F29" s="182">
        <f t="shared" ref="F29:F33" si="0">SUM(E29/D29)</f>
        <v>0.28586695414296581</v>
      </c>
      <c r="G29" s="182">
        <f t="shared" ref="G29:G33" si="1">SUM(D29-E29)</f>
        <v>48913321.329999998</v>
      </c>
    </row>
    <row r="30" spans="2:15" x14ac:dyDescent="0.25">
      <c r="B30" s="159">
        <v>2.2999999999999998</v>
      </c>
      <c r="C30" s="160" t="s">
        <v>322</v>
      </c>
      <c r="D30" s="183">
        <v>11732383.949999999</v>
      </c>
      <c r="E30" s="183">
        <v>5332842</v>
      </c>
      <c r="F30" s="182">
        <f t="shared" si="0"/>
        <v>0.45454035792955788</v>
      </c>
      <c r="G30" s="182">
        <f t="shared" si="1"/>
        <v>6399541.9499999993</v>
      </c>
    </row>
    <row r="31" spans="2:15" x14ac:dyDescent="0.25">
      <c r="B31" s="159">
        <v>2.4</v>
      </c>
      <c r="C31" s="160" t="s">
        <v>323</v>
      </c>
      <c r="D31" s="183">
        <v>140038800</v>
      </c>
      <c r="E31" s="183">
        <v>132838800</v>
      </c>
      <c r="F31" s="182">
        <f t="shared" si="0"/>
        <v>0.94858567768361335</v>
      </c>
      <c r="G31" s="182">
        <f t="shared" si="1"/>
        <v>7200000</v>
      </c>
    </row>
    <row r="32" spans="2:15" x14ac:dyDescent="0.25">
      <c r="B32" s="159">
        <v>2.5</v>
      </c>
      <c r="C32" s="160" t="s">
        <v>324</v>
      </c>
      <c r="D32" s="147" t="s">
        <v>242</v>
      </c>
      <c r="E32" s="147" t="s">
        <v>242</v>
      </c>
      <c r="F32" s="147" t="s">
        <v>242</v>
      </c>
      <c r="G32" s="147" t="s">
        <v>242</v>
      </c>
      <c r="I32" s="79"/>
    </row>
    <row r="33" spans="2:10" ht="30" x14ac:dyDescent="0.25">
      <c r="B33" s="159">
        <v>2.6</v>
      </c>
      <c r="C33" s="160" t="s">
        <v>325</v>
      </c>
      <c r="D33" s="182">
        <v>45396700.840000004</v>
      </c>
      <c r="E33" s="182">
        <v>2903737.12</v>
      </c>
      <c r="F33" s="182">
        <f t="shared" si="0"/>
        <v>6.3963615555107808E-2</v>
      </c>
      <c r="G33" s="182">
        <f t="shared" si="1"/>
        <v>42492963.720000006</v>
      </c>
      <c r="I33" s="80"/>
    </row>
    <row r="34" spans="2:10" x14ac:dyDescent="0.25">
      <c r="B34" s="159">
        <v>2.7</v>
      </c>
      <c r="C34" s="160" t="s">
        <v>326</v>
      </c>
      <c r="D34" s="147" t="s">
        <v>242</v>
      </c>
      <c r="E34" s="147" t="s">
        <v>242</v>
      </c>
      <c r="F34" s="147" t="s">
        <v>242</v>
      </c>
      <c r="G34" s="147" t="s">
        <v>242</v>
      </c>
    </row>
    <row r="35" spans="2:10" ht="33" customHeight="1" x14ac:dyDescent="0.25">
      <c r="B35" s="159">
        <v>2.8</v>
      </c>
      <c r="C35" s="177" t="s">
        <v>342</v>
      </c>
      <c r="D35" s="147" t="s">
        <v>242</v>
      </c>
      <c r="E35" s="147" t="s">
        <v>242</v>
      </c>
      <c r="F35" s="147" t="s">
        <v>242</v>
      </c>
      <c r="G35" s="147" t="s">
        <v>242</v>
      </c>
    </row>
    <row r="36" spans="2:10" ht="19.5" customHeight="1" x14ac:dyDescent="0.25">
      <c r="B36" s="159">
        <v>2.9</v>
      </c>
      <c r="C36" s="160" t="s">
        <v>327</v>
      </c>
      <c r="D36" s="147" t="s">
        <v>242</v>
      </c>
      <c r="E36" s="182">
        <v>99652</v>
      </c>
      <c r="F36" s="182"/>
      <c r="G36" s="147" t="s">
        <v>242</v>
      </c>
    </row>
    <row r="37" spans="2:10" ht="16.5" thickBot="1" x14ac:dyDescent="0.3">
      <c r="B37" s="161"/>
      <c r="C37" s="162" t="s">
        <v>328</v>
      </c>
      <c r="D37" s="184">
        <f>SUM(D17-D27)</f>
        <v>0</v>
      </c>
      <c r="E37" s="184">
        <f>SUM(E17-E27)</f>
        <v>53651305.209999979</v>
      </c>
      <c r="F37" s="184">
        <f>SUM(F17-F27)</f>
        <v>-1.7890626158161711</v>
      </c>
      <c r="G37" s="184">
        <f>SUM(G17-G27)</f>
        <v>-53750957.210000008</v>
      </c>
    </row>
    <row r="38" spans="2:10" ht="15.75" x14ac:dyDescent="0.25">
      <c r="B38" s="163"/>
      <c r="C38" s="163"/>
      <c r="D38" s="164"/>
      <c r="E38" s="163"/>
      <c r="F38" s="163"/>
      <c r="G38" s="164"/>
      <c r="I38" s="174"/>
    </row>
    <row r="39" spans="2:10" x14ac:dyDescent="0.25">
      <c r="I39" s="174"/>
    </row>
    <row r="40" spans="2:10" x14ac:dyDescent="0.25">
      <c r="I40" s="174"/>
    </row>
    <row r="41" spans="2:10" x14ac:dyDescent="0.25">
      <c r="I41" s="174"/>
    </row>
    <row r="42" spans="2:10" ht="18.75" x14ac:dyDescent="0.3">
      <c r="C42" s="99" t="s">
        <v>356</v>
      </c>
      <c r="E42" s="40" t="s">
        <v>364</v>
      </c>
      <c r="F42" s="40"/>
      <c r="G42" s="40"/>
      <c r="H42" s="40"/>
      <c r="I42" s="175"/>
    </row>
    <row r="43" spans="2:10" ht="18.75" x14ac:dyDescent="0.3">
      <c r="C43" s="82" t="s">
        <v>296</v>
      </c>
      <c r="E43" s="43" t="s">
        <v>369</v>
      </c>
      <c r="F43" s="43"/>
      <c r="G43" s="43"/>
      <c r="H43" s="43"/>
      <c r="I43" s="176"/>
    </row>
    <row r="44" spans="2:10" ht="18.75" x14ac:dyDescent="0.3">
      <c r="C44" s="44"/>
      <c r="F44" s="43"/>
      <c r="G44" s="43"/>
      <c r="H44" s="98"/>
      <c r="I44" s="98"/>
      <c r="J44" s="98"/>
    </row>
    <row r="45" spans="2:10" ht="18.75" x14ac:dyDescent="0.3">
      <c r="C45" s="44"/>
      <c r="F45" s="43"/>
      <c r="G45" s="43"/>
      <c r="H45" s="98"/>
      <c r="I45" s="98"/>
      <c r="J45" s="98"/>
    </row>
    <row r="46" spans="2:10" ht="18.75" x14ac:dyDescent="0.3">
      <c r="C46" s="81" t="s">
        <v>10</v>
      </c>
      <c r="E46" s="243" t="s">
        <v>361</v>
      </c>
      <c r="F46" s="243"/>
      <c r="G46" s="243"/>
      <c r="H46" s="99"/>
      <c r="I46" s="99"/>
      <c r="J46" s="99"/>
    </row>
    <row r="47" spans="2:10" ht="18.75" x14ac:dyDescent="0.3">
      <c r="C47" s="82" t="s">
        <v>4</v>
      </c>
      <c r="E47" s="250" t="s">
        <v>362</v>
      </c>
      <c r="F47" s="250"/>
      <c r="G47" s="250"/>
      <c r="H47" s="43"/>
      <c r="I47" s="43"/>
    </row>
    <row r="48" spans="2:10" x14ac:dyDescent="0.25">
      <c r="D48" s="21"/>
    </row>
  </sheetData>
  <mergeCells count="13">
    <mergeCell ref="J23:M23"/>
    <mergeCell ref="J24:N24"/>
    <mergeCell ref="J25:O25"/>
    <mergeCell ref="E46:G46"/>
    <mergeCell ref="E47:G47"/>
    <mergeCell ref="A7:H7"/>
    <mergeCell ref="A8:H8"/>
    <mergeCell ref="B16:C16"/>
    <mergeCell ref="B10:G10"/>
    <mergeCell ref="B11:G11"/>
    <mergeCell ref="B12:G12"/>
    <mergeCell ref="B13:G13"/>
    <mergeCell ref="B15:I15"/>
  </mergeCells>
  <pageMargins left="0.70866141732283472" right="0.70866141732283472" top="0.74803149606299213" bottom="0.74803149606299213" header="0.31496062992125984" footer="0.31496062992125984"/>
  <pageSetup scale="7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361"/>
  <sheetViews>
    <sheetView tabSelected="1" topLeftCell="A35" workbookViewId="0">
      <selection sqref="A1:G38"/>
    </sheetView>
  </sheetViews>
  <sheetFormatPr baseColWidth="10" defaultColWidth="11.42578125" defaultRowHeight="15" x14ac:dyDescent="0.25"/>
  <cols>
    <col min="1" max="1" width="7.140625" style="7" customWidth="1"/>
    <col min="2" max="2" width="31.7109375" style="7" customWidth="1"/>
    <col min="3" max="3" width="16.28515625" style="7" customWidth="1"/>
    <col min="4" max="4" width="17.5703125" style="134" customWidth="1"/>
    <col min="5" max="5" width="16.140625" style="203" customWidth="1"/>
    <col min="6" max="6" width="19" style="203" customWidth="1"/>
    <col min="7" max="7" width="15.5703125" style="7" customWidth="1"/>
    <col min="8" max="8" width="13.85546875" style="7" customWidth="1"/>
    <col min="9" max="9" width="15" style="7" customWidth="1"/>
    <col min="10" max="10" width="14.28515625" style="7" bestFit="1" customWidth="1"/>
    <col min="11" max="16384" width="11.42578125" style="7"/>
  </cols>
  <sheetData>
    <row r="6" spans="1:7" ht="18.75" x14ac:dyDescent="0.3">
      <c r="A6" s="6"/>
      <c r="B6" s="268" t="s">
        <v>0</v>
      </c>
      <c r="C6" s="268"/>
      <c r="D6" s="268"/>
      <c r="E6" s="268"/>
      <c r="F6" s="268"/>
      <c r="G6" s="268"/>
    </row>
    <row r="7" spans="1:7" ht="18.75" x14ac:dyDescent="0.3">
      <c r="A7" s="6"/>
      <c r="B7" s="269" t="s">
        <v>1</v>
      </c>
      <c r="C7" s="269"/>
      <c r="D7" s="269"/>
      <c r="E7" s="269"/>
      <c r="F7" s="269"/>
      <c r="G7" s="269"/>
    </row>
    <row r="8" spans="1:7" ht="18.75" x14ac:dyDescent="0.3">
      <c r="A8" s="6"/>
      <c r="B8" s="269" t="s">
        <v>104</v>
      </c>
      <c r="C8" s="269"/>
      <c r="D8" s="269"/>
      <c r="E8" s="269"/>
      <c r="F8" s="269"/>
      <c r="G8" s="269"/>
    </row>
    <row r="9" spans="1:7" ht="18.75" x14ac:dyDescent="0.3">
      <c r="A9" s="6"/>
      <c r="B9" s="269" t="s">
        <v>370</v>
      </c>
      <c r="C9" s="269"/>
      <c r="D9" s="269"/>
      <c r="E9" s="269"/>
      <c r="F9" s="269"/>
      <c r="G9" s="269"/>
    </row>
    <row r="10" spans="1:7" ht="15.75" x14ac:dyDescent="0.25">
      <c r="A10" s="6"/>
      <c r="B10" s="270" t="s">
        <v>20</v>
      </c>
      <c r="C10" s="270"/>
      <c r="D10" s="270"/>
      <c r="E10" s="270"/>
      <c r="F10" s="270"/>
      <c r="G10" s="270"/>
    </row>
    <row r="11" spans="1:7" ht="15.75" x14ac:dyDescent="0.25">
      <c r="A11" s="9"/>
      <c r="B11" s="12"/>
      <c r="C11" s="12"/>
      <c r="D11" s="135"/>
      <c r="E11" s="224"/>
    </row>
    <row r="12" spans="1:7" ht="28.5" customHeight="1" x14ac:dyDescent="0.25">
      <c r="A12" s="6"/>
      <c r="B12" s="271" t="s">
        <v>434</v>
      </c>
      <c r="C12" s="271"/>
      <c r="D12" s="271"/>
      <c r="E12" s="271"/>
      <c r="F12" s="271"/>
      <c r="G12" s="271"/>
    </row>
    <row r="13" spans="1:7" ht="88.5" customHeight="1" x14ac:dyDescent="0.25">
      <c r="A13" s="6"/>
      <c r="B13" s="271"/>
      <c r="C13" s="271"/>
      <c r="D13" s="271"/>
      <c r="E13" s="271"/>
      <c r="F13" s="271"/>
      <c r="G13" s="271"/>
    </row>
    <row r="14" spans="1:7" x14ac:dyDescent="0.25">
      <c r="A14" s="6"/>
      <c r="B14" s="168" t="s">
        <v>371</v>
      </c>
      <c r="C14" s="168"/>
      <c r="D14" s="168"/>
      <c r="E14" s="204"/>
    </row>
    <row r="15" spans="1:7" x14ac:dyDescent="0.25">
      <c r="A15" s="6"/>
      <c r="B15" s="168"/>
      <c r="C15" s="168"/>
      <c r="D15" s="137"/>
      <c r="E15" s="204"/>
    </row>
    <row r="16" spans="1:7" x14ac:dyDescent="0.25">
      <c r="A16" s="6"/>
      <c r="B16" s="170" t="s">
        <v>105</v>
      </c>
      <c r="D16" s="7"/>
      <c r="E16" s="225" t="s">
        <v>106</v>
      </c>
      <c r="F16" s="204"/>
    </row>
    <row r="17" spans="1:7" x14ac:dyDescent="0.25">
      <c r="A17" s="6"/>
      <c r="B17" s="167" t="s">
        <v>463</v>
      </c>
      <c r="D17" s="7"/>
      <c r="E17" s="226" t="s">
        <v>372</v>
      </c>
      <c r="F17" s="204"/>
    </row>
    <row r="18" spans="1:7" x14ac:dyDescent="0.25">
      <c r="A18" s="6"/>
      <c r="B18" s="167" t="s">
        <v>451</v>
      </c>
      <c r="D18" s="7"/>
      <c r="E18" s="226" t="s">
        <v>387</v>
      </c>
      <c r="F18" s="204"/>
    </row>
    <row r="19" spans="1:7" x14ac:dyDescent="0.25">
      <c r="A19" s="6"/>
      <c r="B19" s="233" t="s">
        <v>107</v>
      </c>
      <c r="C19" s="233"/>
      <c r="D19" s="7"/>
      <c r="E19" s="226" t="s">
        <v>344</v>
      </c>
      <c r="F19" s="204"/>
    </row>
    <row r="20" spans="1:7" ht="15" customHeight="1" x14ac:dyDescent="0.25">
      <c r="A20" s="6"/>
      <c r="B20" s="10" t="s">
        <v>345</v>
      </c>
      <c r="C20" s="10"/>
      <c r="D20" s="7"/>
      <c r="E20" s="226" t="s">
        <v>346</v>
      </c>
      <c r="F20" s="204"/>
    </row>
    <row r="21" spans="1:7" x14ac:dyDescent="0.25">
      <c r="A21" s="6"/>
      <c r="B21" s="232" t="s">
        <v>452</v>
      </c>
      <c r="D21" s="7"/>
      <c r="E21" s="226" t="s">
        <v>450</v>
      </c>
      <c r="F21" s="204"/>
    </row>
    <row r="22" spans="1:7" ht="15" customHeight="1" x14ac:dyDescent="0.25">
      <c r="A22" s="6"/>
      <c r="B22" s="233" t="s">
        <v>453</v>
      </c>
      <c r="C22" s="233"/>
      <c r="D22" s="7"/>
      <c r="E22" s="226" t="s">
        <v>388</v>
      </c>
      <c r="F22" s="204"/>
    </row>
    <row r="23" spans="1:7" x14ac:dyDescent="0.25">
      <c r="A23" s="6"/>
      <c r="B23" s="233" t="s">
        <v>108</v>
      </c>
      <c r="C23" s="233"/>
      <c r="D23" s="7"/>
      <c r="E23" s="226" t="s">
        <v>347</v>
      </c>
      <c r="F23" s="204"/>
    </row>
    <row r="24" spans="1:7" ht="15" customHeight="1" x14ac:dyDescent="0.25">
      <c r="A24" s="6"/>
      <c r="B24" s="233" t="s">
        <v>348</v>
      </c>
      <c r="C24" s="233"/>
      <c r="D24" s="7"/>
      <c r="E24" s="226" t="s">
        <v>349</v>
      </c>
      <c r="F24" s="204"/>
    </row>
    <row r="25" spans="1:7" x14ac:dyDescent="0.25">
      <c r="A25" s="6"/>
      <c r="B25" s="10" t="s">
        <v>109</v>
      </c>
      <c r="C25" s="10"/>
      <c r="D25" s="7"/>
      <c r="E25" s="226" t="s">
        <v>350</v>
      </c>
      <c r="F25" s="204"/>
    </row>
    <row r="26" spans="1:7" ht="15" customHeight="1" x14ac:dyDescent="0.25">
      <c r="A26" s="6"/>
      <c r="B26" s="235" t="s">
        <v>278</v>
      </c>
      <c r="C26" s="235"/>
      <c r="D26" s="7"/>
      <c r="E26" s="226" t="s">
        <v>351</v>
      </c>
      <c r="F26" s="204"/>
    </row>
    <row r="27" spans="1:7" ht="15" customHeight="1" x14ac:dyDescent="0.25">
      <c r="A27" s="6"/>
      <c r="B27" s="10" t="s">
        <v>10</v>
      </c>
      <c r="C27" s="10"/>
      <c r="D27" s="7"/>
      <c r="E27" s="226" t="s">
        <v>352</v>
      </c>
      <c r="F27" s="204"/>
    </row>
    <row r="28" spans="1:7" ht="14.25" customHeight="1" x14ac:dyDescent="0.25">
      <c r="A28" s="6"/>
      <c r="B28" s="235" t="s">
        <v>353</v>
      </c>
      <c r="C28" s="235"/>
      <c r="D28" s="136"/>
      <c r="E28" s="226" t="s">
        <v>354</v>
      </c>
    </row>
    <row r="29" spans="1:7" ht="18.75" customHeight="1" x14ac:dyDescent="0.25">
      <c r="A29" s="6"/>
      <c r="B29" s="234"/>
      <c r="C29" s="234"/>
      <c r="D29" s="136"/>
      <c r="E29" s="204"/>
    </row>
    <row r="30" spans="1:7" ht="52.5" customHeight="1" x14ac:dyDescent="0.25">
      <c r="A30" s="6"/>
      <c r="B30" s="272" t="s">
        <v>304</v>
      </c>
      <c r="C30" s="272"/>
      <c r="D30" s="272"/>
      <c r="E30" s="272"/>
      <c r="F30" s="272"/>
      <c r="G30" s="272"/>
    </row>
    <row r="31" spans="1:7" ht="15" customHeight="1" x14ac:dyDescent="0.25">
      <c r="A31" s="6"/>
      <c r="B31" s="262" t="s">
        <v>454</v>
      </c>
      <c r="C31" s="262"/>
      <c r="D31" s="262"/>
      <c r="E31" s="262"/>
      <c r="F31" s="262"/>
      <c r="G31" s="262"/>
    </row>
    <row r="32" spans="1:7" ht="39" customHeight="1" x14ac:dyDescent="0.25">
      <c r="A32" s="6"/>
      <c r="B32" s="262"/>
      <c r="C32" s="262"/>
      <c r="D32" s="262"/>
      <c r="E32" s="262"/>
      <c r="F32" s="262"/>
      <c r="G32" s="262"/>
    </row>
    <row r="33" spans="1:7" x14ac:dyDescent="0.25">
      <c r="A33" s="6"/>
      <c r="B33" s="171"/>
      <c r="C33" s="171"/>
      <c r="D33" s="138"/>
      <c r="E33" s="204"/>
    </row>
    <row r="34" spans="1:7" x14ac:dyDescent="0.25">
      <c r="A34" s="6"/>
      <c r="B34" s="264" t="s">
        <v>110</v>
      </c>
      <c r="C34" s="264"/>
      <c r="D34" s="264"/>
      <c r="E34" s="204"/>
    </row>
    <row r="35" spans="1:7" ht="15" customHeight="1" x14ac:dyDescent="0.25">
      <c r="A35" s="6"/>
      <c r="B35" s="266" t="s">
        <v>111</v>
      </c>
      <c r="C35" s="266"/>
      <c r="D35" s="266"/>
      <c r="E35" s="266"/>
      <c r="F35" s="266"/>
      <c r="G35" s="266"/>
    </row>
    <row r="36" spans="1:7" ht="8.25" customHeight="1" x14ac:dyDescent="0.25">
      <c r="A36" s="6"/>
      <c r="B36" s="10"/>
      <c r="C36" s="10"/>
      <c r="D36" s="139"/>
      <c r="E36" s="204"/>
    </row>
    <row r="37" spans="1:7" ht="24.75" customHeight="1" x14ac:dyDescent="0.25">
      <c r="A37" s="6"/>
      <c r="B37" s="265" t="s">
        <v>112</v>
      </c>
      <c r="C37" s="265"/>
      <c r="D37" s="139"/>
      <c r="E37" s="204"/>
    </row>
    <row r="38" spans="1:7" ht="65.25" customHeight="1" x14ac:dyDescent="0.25">
      <c r="A38" s="6"/>
      <c r="B38" s="262" t="s">
        <v>338</v>
      </c>
      <c r="C38" s="262"/>
      <c r="D38" s="262"/>
      <c r="E38" s="262"/>
      <c r="F38" s="262"/>
      <c r="G38" s="262"/>
    </row>
    <row r="39" spans="1:7" ht="39.75" customHeight="1" x14ac:dyDescent="0.25">
      <c r="A39" s="6"/>
      <c r="B39" s="265" t="s">
        <v>113</v>
      </c>
      <c r="C39" s="265"/>
      <c r="D39" s="139"/>
      <c r="E39" s="204"/>
    </row>
    <row r="40" spans="1:7" ht="15" customHeight="1" x14ac:dyDescent="0.25">
      <c r="A40" s="6"/>
      <c r="B40" s="262" t="s">
        <v>332</v>
      </c>
      <c r="C40" s="262"/>
      <c r="D40" s="262"/>
      <c r="E40" s="262"/>
      <c r="F40" s="262"/>
      <c r="G40" s="262"/>
    </row>
    <row r="41" spans="1:7" x14ac:dyDescent="0.25">
      <c r="A41" s="6"/>
      <c r="B41" s="171"/>
      <c r="C41" s="171"/>
      <c r="D41" s="138"/>
      <c r="E41" s="204"/>
    </row>
    <row r="42" spans="1:7" x14ac:dyDescent="0.25">
      <c r="A42" s="6"/>
      <c r="B42" s="264" t="s">
        <v>114</v>
      </c>
      <c r="C42" s="264"/>
      <c r="D42" s="264"/>
      <c r="E42" s="204"/>
    </row>
    <row r="43" spans="1:7" ht="30.75" customHeight="1" x14ac:dyDescent="0.25">
      <c r="A43" s="6"/>
      <c r="B43" s="262" t="s">
        <v>115</v>
      </c>
      <c r="C43" s="262"/>
      <c r="D43" s="262"/>
      <c r="E43" s="262"/>
      <c r="F43" s="262"/>
      <c r="G43" s="262"/>
    </row>
    <row r="44" spans="1:7" x14ac:dyDescent="0.25">
      <c r="A44" s="6"/>
      <c r="B44" s="171"/>
      <c r="C44" s="171"/>
      <c r="D44" s="138"/>
      <c r="E44" s="204"/>
    </row>
    <row r="45" spans="1:7" ht="21.75" customHeight="1" x14ac:dyDescent="0.25">
      <c r="A45" s="6"/>
      <c r="B45" s="172" t="s">
        <v>116</v>
      </c>
      <c r="C45" s="167"/>
      <c r="D45" s="136"/>
      <c r="E45" s="204"/>
    </row>
    <row r="46" spans="1:7" ht="31.5" customHeight="1" x14ac:dyDescent="0.25">
      <c r="A46" s="6"/>
      <c r="B46" s="262" t="s">
        <v>117</v>
      </c>
      <c r="C46" s="262"/>
      <c r="D46" s="262"/>
      <c r="E46" s="262"/>
      <c r="F46" s="262"/>
      <c r="G46" s="262"/>
    </row>
    <row r="47" spans="1:7" x14ac:dyDescent="0.25">
      <c r="A47" s="6"/>
      <c r="B47" s="167"/>
      <c r="C47" s="167"/>
      <c r="D47" s="136"/>
      <c r="E47" s="204"/>
    </row>
    <row r="48" spans="1:7" x14ac:dyDescent="0.25">
      <c r="A48" s="6"/>
      <c r="B48" s="172" t="s">
        <v>118</v>
      </c>
      <c r="C48" s="167"/>
      <c r="D48" s="136"/>
      <c r="E48" s="204"/>
    </row>
    <row r="49" spans="1:11" ht="28.5" customHeight="1" x14ac:dyDescent="0.25">
      <c r="A49" s="6"/>
      <c r="B49" s="262" t="s">
        <v>119</v>
      </c>
      <c r="C49" s="262"/>
      <c r="D49" s="262"/>
      <c r="E49" s="262"/>
      <c r="F49" s="262"/>
      <c r="G49" s="262"/>
    </row>
    <row r="50" spans="1:11" x14ac:dyDescent="0.25">
      <c r="A50" s="6"/>
      <c r="B50" s="263"/>
      <c r="C50" s="263"/>
      <c r="D50" s="263"/>
      <c r="E50" s="204"/>
    </row>
    <row r="51" spans="1:11" ht="48" customHeight="1" x14ac:dyDescent="0.25">
      <c r="A51" s="6"/>
      <c r="B51" s="262" t="s">
        <v>120</v>
      </c>
      <c r="C51" s="262"/>
      <c r="D51" s="262"/>
      <c r="E51" s="262"/>
      <c r="F51" s="262"/>
      <c r="G51" s="262"/>
    </row>
    <row r="52" spans="1:11" x14ac:dyDescent="0.25">
      <c r="A52" s="6"/>
      <c r="B52" s="13"/>
      <c r="C52" s="13"/>
      <c r="D52" s="140"/>
      <c r="E52" s="204"/>
    </row>
    <row r="53" spans="1:11" x14ac:dyDescent="0.25">
      <c r="A53" s="11"/>
      <c r="B53" s="172" t="s">
        <v>374</v>
      </c>
      <c r="C53" s="172"/>
      <c r="D53" s="136"/>
      <c r="E53" s="204"/>
    </row>
    <row r="54" spans="1:11" x14ac:dyDescent="0.25">
      <c r="A54" s="6"/>
      <c r="B54" s="167" t="s">
        <v>373</v>
      </c>
      <c r="C54" s="167"/>
      <c r="D54" s="167"/>
      <c r="E54" s="204"/>
    </row>
    <row r="55" spans="1:11" x14ac:dyDescent="0.25">
      <c r="A55" s="6"/>
      <c r="B55" s="167"/>
      <c r="C55" s="167"/>
      <c r="D55" s="167"/>
      <c r="E55" s="204"/>
    </row>
    <row r="56" spans="1:11" ht="15.75" x14ac:dyDescent="0.25">
      <c r="A56" s="6"/>
      <c r="B56" s="267" t="s">
        <v>121</v>
      </c>
      <c r="C56" s="267"/>
      <c r="D56" s="7"/>
      <c r="E56" s="239">
        <v>2024</v>
      </c>
      <c r="F56" s="239">
        <v>2023</v>
      </c>
      <c r="G56" s="185"/>
    </row>
    <row r="57" spans="1:11" x14ac:dyDescent="0.25">
      <c r="A57" s="6"/>
      <c r="B57" s="167" t="s">
        <v>122</v>
      </c>
      <c r="C57" s="167"/>
      <c r="D57" s="7"/>
      <c r="E57" s="227">
        <v>54974.97</v>
      </c>
      <c r="F57" s="227">
        <v>212387.58</v>
      </c>
      <c r="G57" s="186"/>
      <c r="J57" s="169"/>
      <c r="K57" s="169"/>
    </row>
    <row r="58" spans="1:11" x14ac:dyDescent="0.25">
      <c r="A58" s="6"/>
      <c r="B58" s="167" t="s">
        <v>123</v>
      </c>
      <c r="C58" s="167"/>
      <c r="D58" s="7"/>
      <c r="E58" s="227">
        <v>46194.68</v>
      </c>
      <c r="F58" s="227">
        <f>145346.31+5784.65</f>
        <v>151130.96</v>
      </c>
      <c r="G58" s="186"/>
      <c r="J58" s="169"/>
      <c r="K58" s="169"/>
    </row>
    <row r="59" spans="1:11" ht="15.75" thickBot="1" x14ac:dyDescent="0.3">
      <c r="A59" s="6"/>
      <c r="B59" s="167" t="s">
        <v>124</v>
      </c>
      <c r="C59" s="167"/>
      <c r="D59" s="7"/>
      <c r="E59" s="227">
        <v>223351016.88999999</v>
      </c>
      <c r="F59" s="227">
        <v>199231342.97</v>
      </c>
      <c r="G59" s="186"/>
      <c r="J59" s="169"/>
      <c r="K59" s="169"/>
    </row>
    <row r="60" spans="1:11" ht="15.75" thickBot="1" x14ac:dyDescent="0.3">
      <c r="A60" s="6"/>
      <c r="B60" s="267" t="s">
        <v>125</v>
      </c>
      <c r="C60" s="267"/>
      <c r="D60" s="7"/>
      <c r="E60" s="228">
        <f>SUM(E57:E59)</f>
        <v>223452186.53999999</v>
      </c>
      <c r="F60" s="228">
        <f>SUM(F57:F59)</f>
        <v>199594861.50999999</v>
      </c>
      <c r="G60" s="187"/>
      <c r="J60" s="169"/>
      <c r="K60" s="169"/>
    </row>
    <row r="61" spans="1:11" ht="15.75" thickTop="1" x14ac:dyDescent="0.25">
      <c r="D61" s="7"/>
      <c r="F61" s="205"/>
      <c r="G61" s="188"/>
      <c r="H61" s="169"/>
      <c r="J61" s="169"/>
      <c r="K61" s="169"/>
    </row>
    <row r="62" spans="1:11" x14ac:dyDescent="0.25">
      <c r="B62" s="14" t="s">
        <v>126</v>
      </c>
      <c r="C62" s="14"/>
      <c r="G62" s="134"/>
      <c r="H62" s="169"/>
      <c r="J62" s="169"/>
      <c r="K62" s="169"/>
    </row>
    <row r="63" spans="1:11" ht="20.25" customHeight="1" x14ac:dyDescent="0.25">
      <c r="B63" s="15" t="s">
        <v>127</v>
      </c>
      <c r="C63" s="14"/>
      <c r="H63" s="169"/>
      <c r="J63" s="169"/>
      <c r="K63" s="169"/>
    </row>
    <row r="64" spans="1:11" ht="33" customHeight="1" x14ac:dyDescent="0.25">
      <c r="B64" s="261" t="s">
        <v>375</v>
      </c>
      <c r="C64" s="261"/>
      <c r="D64" s="261"/>
      <c r="E64" s="261"/>
      <c r="F64" s="261"/>
      <c r="G64" s="261"/>
      <c r="H64" s="169"/>
    </row>
    <row r="65" spans="2:6" ht="19.5" customHeight="1" x14ac:dyDescent="0.25">
      <c r="B65" s="14" t="s">
        <v>121</v>
      </c>
      <c r="D65" s="7"/>
      <c r="E65" s="239">
        <v>2024</v>
      </c>
      <c r="F65" s="239">
        <v>2023</v>
      </c>
    </row>
    <row r="66" spans="2:6" x14ac:dyDescent="0.25">
      <c r="B66" s="7" t="s">
        <v>128</v>
      </c>
      <c r="D66" s="7"/>
      <c r="E66" s="207">
        <v>51346.76</v>
      </c>
      <c r="F66" s="207">
        <v>156623.74</v>
      </c>
    </row>
    <row r="67" spans="2:6" x14ac:dyDescent="0.25">
      <c r="B67" s="7" t="s">
        <v>129</v>
      </c>
      <c r="D67" s="7"/>
      <c r="E67" s="207">
        <v>1280.3</v>
      </c>
      <c r="F67" s="207">
        <v>1404.2</v>
      </c>
    </row>
    <row r="68" spans="2:6" x14ac:dyDescent="0.25">
      <c r="B68" s="7" t="s">
        <v>130</v>
      </c>
      <c r="D68" s="7"/>
      <c r="E68" s="207">
        <v>867.3</v>
      </c>
      <c r="F68" s="207">
        <v>1672.06</v>
      </c>
    </row>
    <row r="69" spans="2:6" x14ac:dyDescent="0.25">
      <c r="B69" s="7" t="s">
        <v>131</v>
      </c>
      <c r="D69" s="7"/>
      <c r="E69" s="207">
        <f>23913.82+49879.78</f>
        <v>73793.600000000006</v>
      </c>
      <c r="F69" s="207">
        <v>71897.119999999995</v>
      </c>
    </row>
    <row r="70" spans="2:6" x14ac:dyDescent="0.25">
      <c r="B70" s="7" t="s">
        <v>132</v>
      </c>
      <c r="D70" s="7"/>
      <c r="E70" s="207">
        <v>78685.88</v>
      </c>
      <c r="F70" s="207">
        <v>193717.85</v>
      </c>
    </row>
    <row r="71" spans="2:6" x14ac:dyDescent="0.25">
      <c r="B71" s="7" t="s">
        <v>133</v>
      </c>
      <c r="D71" s="7"/>
      <c r="E71" s="207"/>
      <c r="F71" s="207">
        <v>1244</v>
      </c>
    </row>
    <row r="72" spans="2:6" x14ac:dyDescent="0.25">
      <c r="B72" s="7" t="s">
        <v>135</v>
      </c>
      <c r="D72" s="7"/>
      <c r="E72" s="207">
        <v>933</v>
      </c>
      <c r="F72" s="207">
        <v>17317.68</v>
      </c>
    </row>
    <row r="73" spans="2:6" x14ac:dyDescent="0.25">
      <c r="B73" s="7" t="s">
        <v>136</v>
      </c>
      <c r="D73" s="7"/>
      <c r="E73" s="207">
        <f>3811+1538.25</f>
        <v>5349.25</v>
      </c>
      <c r="F73" s="207">
        <v>21491.72</v>
      </c>
    </row>
    <row r="74" spans="2:6" x14ac:dyDescent="0.25">
      <c r="B74" s="7" t="s">
        <v>137</v>
      </c>
      <c r="D74" s="7"/>
      <c r="E74" s="207">
        <v>6945.14</v>
      </c>
      <c r="F74" s="207">
        <v>43439.18</v>
      </c>
    </row>
    <row r="75" spans="2:6" x14ac:dyDescent="0.25">
      <c r="B75" s="7" t="s">
        <v>138</v>
      </c>
      <c r="D75" s="7"/>
      <c r="E75" s="207">
        <v>26831.32</v>
      </c>
      <c r="F75" s="207">
        <v>825</v>
      </c>
    </row>
    <row r="76" spans="2:6" x14ac:dyDescent="0.25">
      <c r="B76" s="7" t="s">
        <v>139</v>
      </c>
      <c r="D76" s="7"/>
      <c r="E76" s="207">
        <v>192.34</v>
      </c>
      <c r="F76" s="207">
        <v>7934.433</v>
      </c>
    </row>
    <row r="77" spans="2:6" x14ac:dyDescent="0.25">
      <c r="B77" s="7" t="s">
        <v>140</v>
      </c>
      <c r="D77" s="7"/>
      <c r="E77" s="208">
        <v>267.33999999999997</v>
      </c>
      <c r="F77" s="208">
        <v>0</v>
      </c>
    </row>
    <row r="78" spans="2:6" x14ac:dyDescent="0.25">
      <c r="B78" s="7" t="s">
        <v>141</v>
      </c>
      <c r="D78" s="7"/>
      <c r="E78" s="207">
        <v>22773.599999999999</v>
      </c>
      <c r="F78" s="207">
        <v>23263.3</v>
      </c>
    </row>
    <row r="79" spans="2:6" x14ac:dyDescent="0.25">
      <c r="B79" s="7" t="s">
        <v>142</v>
      </c>
      <c r="D79" s="7"/>
      <c r="E79" s="207">
        <v>96821.49</v>
      </c>
      <c r="F79" s="207">
        <v>41368.46</v>
      </c>
    </row>
    <row r="80" spans="2:6" x14ac:dyDescent="0.25">
      <c r="B80" s="7" t="s">
        <v>143</v>
      </c>
      <c r="D80" s="7"/>
      <c r="E80" s="207">
        <f>178229.68+92171.61</f>
        <v>270401.28999999998</v>
      </c>
      <c r="F80" s="207">
        <v>243214.33</v>
      </c>
    </row>
    <row r="81" spans="2:6" x14ac:dyDescent="0.25">
      <c r="B81" s="7" t="s">
        <v>439</v>
      </c>
      <c r="D81" s="7"/>
      <c r="E81" s="207"/>
      <c r="F81" s="207">
        <v>5752</v>
      </c>
    </row>
    <row r="82" spans="2:6" x14ac:dyDescent="0.25">
      <c r="B82" s="7" t="s">
        <v>144</v>
      </c>
      <c r="D82" s="7"/>
      <c r="E82" s="207">
        <v>10649.5</v>
      </c>
      <c r="F82" s="207">
        <v>58049.5</v>
      </c>
    </row>
    <row r="83" spans="2:6" x14ac:dyDescent="0.25">
      <c r="B83" s="7" t="s">
        <v>145</v>
      </c>
      <c r="D83" s="7"/>
      <c r="E83" s="207">
        <v>31127.61</v>
      </c>
      <c r="F83" s="207">
        <v>30687.360000000001</v>
      </c>
    </row>
    <row r="84" spans="2:6" x14ac:dyDescent="0.25">
      <c r="B84" s="7" t="s">
        <v>146</v>
      </c>
      <c r="D84" s="7"/>
      <c r="E84" s="207"/>
      <c r="F84" s="207">
        <v>2070.9</v>
      </c>
    </row>
    <row r="85" spans="2:6" x14ac:dyDescent="0.25">
      <c r="D85" s="7"/>
      <c r="E85" s="207"/>
      <c r="F85" s="207"/>
    </row>
    <row r="86" spans="2:6" x14ac:dyDescent="0.25">
      <c r="B86" s="7" t="s">
        <v>147</v>
      </c>
      <c r="D86" s="7"/>
      <c r="E86" s="207">
        <v>17356.88</v>
      </c>
      <c r="F86" s="207">
        <v>23695.84</v>
      </c>
    </row>
    <row r="87" spans="2:6" x14ac:dyDescent="0.25">
      <c r="B87" s="7" t="s">
        <v>148</v>
      </c>
      <c r="D87" s="7"/>
      <c r="E87" s="207"/>
      <c r="F87" s="207">
        <v>55</v>
      </c>
    </row>
    <row r="88" spans="2:6" x14ac:dyDescent="0.25">
      <c r="B88" s="7" t="s">
        <v>149</v>
      </c>
      <c r="D88" s="7"/>
      <c r="E88" s="207">
        <v>4974.67</v>
      </c>
      <c r="F88" s="207">
        <v>7462</v>
      </c>
    </row>
    <row r="89" spans="2:6" x14ac:dyDescent="0.25">
      <c r="B89" s="7" t="s">
        <v>233</v>
      </c>
      <c r="D89" s="7"/>
      <c r="E89" s="207">
        <v>55</v>
      </c>
      <c r="F89" s="207">
        <v>0</v>
      </c>
    </row>
    <row r="90" spans="2:6" x14ac:dyDescent="0.25">
      <c r="B90" s="7" t="s">
        <v>390</v>
      </c>
      <c r="D90" s="7"/>
      <c r="E90" s="207">
        <v>1032.5</v>
      </c>
      <c r="F90" s="207"/>
    </row>
    <row r="91" spans="2:6" ht="15.75" x14ac:dyDescent="0.25">
      <c r="B91" s="16" t="s">
        <v>150</v>
      </c>
      <c r="C91" s="16"/>
      <c r="D91" s="7"/>
      <c r="E91" s="209">
        <f>SUM(E66:E90)</f>
        <v>701684.77</v>
      </c>
      <c r="F91" s="209">
        <f>SUM(F66:F88)</f>
        <v>953185.67299999995</v>
      </c>
    </row>
    <row r="92" spans="2:6" ht="6.75" customHeight="1" x14ac:dyDescent="0.25">
      <c r="B92" s="16"/>
      <c r="C92" s="16"/>
      <c r="D92" s="148"/>
      <c r="E92" s="210"/>
    </row>
    <row r="93" spans="2:6" ht="6.75" customHeight="1" x14ac:dyDescent="0.25">
      <c r="B93" s="16"/>
      <c r="C93" s="16"/>
      <c r="D93" s="148"/>
      <c r="E93" s="210"/>
    </row>
    <row r="94" spans="2:6" ht="6.75" customHeight="1" x14ac:dyDescent="0.25">
      <c r="B94" s="16"/>
      <c r="C94" s="16"/>
      <c r="D94" s="148"/>
      <c r="E94" s="210"/>
    </row>
    <row r="95" spans="2:6" ht="6.75" customHeight="1" x14ac:dyDescent="0.25">
      <c r="B95" s="16"/>
      <c r="C95" s="16"/>
      <c r="D95" s="148"/>
      <c r="E95" s="210"/>
    </row>
    <row r="96" spans="2:6" ht="19.5" customHeight="1" x14ac:dyDescent="0.25">
      <c r="B96" s="15" t="s">
        <v>151</v>
      </c>
      <c r="C96" s="14"/>
      <c r="D96" s="141"/>
    </row>
    <row r="97" spans="2:6" ht="12" customHeight="1" x14ac:dyDescent="0.25">
      <c r="B97" s="14" t="s">
        <v>121</v>
      </c>
      <c r="C97" s="14"/>
      <c r="D97" s="141"/>
    </row>
    <row r="98" spans="2:6" x14ac:dyDescent="0.25">
      <c r="B98" s="7" t="s">
        <v>152</v>
      </c>
      <c r="D98" s="7"/>
      <c r="E98" s="208">
        <v>501596</v>
      </c>
      <c r="F98" s="208">
        <v>11900</v>
      </c>
    </row>
    <row r="99" spans="2:6" x14ac:dyDescent="0.25">
      <c r="B99" s="7" t="s">
        <v>153</v>
      </c>
      <c r="D99" s="7"/>
      <c r="E99" s="208">
        <v>340666</v>
      </c>
      <c r="F99" s="237">
        <v>0</v>
      </c>
    </row>
    <row r="100" spans="2:6" x14ac:dyDescent="0.25">
      <c r="B100" s="7" t="s">
        <v>391</v>
      </c>
      <c r="D100" s="7"/>
      <c r="E100" s="208">
        <v>2070.9</v>
      </c>
      <c r="F100" s="237">
        <v>0</v>
      </c>
    </row>
    <row r="101" spans="2:6" x14ac:dyDescent="0.25">
      <c r="B101" s="7" t="s">
        <v>392</v>
      </c>
      <c r="D101" s="7"/>
      <c r="E101" s="208">
        <v>34721.5</v>
      </c>
      <c r="F101" s="237"/>
    </row>
    <row r="102" spans="2:6" x14ac:dyDescent="0.25">
      <c r="B102" s="7" t="s">
        <v>154</v>
      </c>
      <c r="D102" s="7"/>
      <c r="E102" s="208">
        <v>722.83</v>
      </c>
      <c r="F102" s="237">
        <v>722.83</v>
      </c>
    </row>
    <row r="103" spans="2:6" x14ac:dyDescent="0.25">
      <c r="B103" s="7" t="s">
        <v>155</v>
      </c>
      <c r="D103" s="7"/>
      <c r="E103" s="208">
        <v>56852.4</v>
      </c>
      <c r="F103" s="237">
        <v>0</v>
      </c>
    </row>
    <row r="104" spans="2:6" x14ac:dyDescent="0.25">
      <c r="B104" s="7" t="s">
        <v>156</v>
      </c>
      <c r="D104" s="7"/>
      <c r="E104" s="208">
        <v>68168.600000000006</v>
      </c>
      <c r="F104" s="237">
        <v>0</v>
      </c>
    </row>
    <row r="105" spans="2:6" x14ac:dyDescent="0.25">
      <c r="B105" s="7" t="s">
        <v>393</v>
      </c>
      <c r="D105" s="7"/>
      <c r="E105" s="208">
        <v>1069894.26</v>
      </c>
      <c r="F105" s="237">
        <v>0</v>
      </c>
    </row>
    <row r="106" spans="2:6" x14ac:dyDescent="0.25">
      <c r="B106" s="7" t="s">
        <v>157</v>
      </c>
      <c r="D106" s="7"/>
      <c r="E106" s="208">
        <v>410430.74</v>
      </c>
      <c r="F106" s="237">
        <v>0</v>
      </c>
    </row>
    <row r="107" spans="2:6" x14ac:dyDescent="0.25">
      <c r="B107" s="7" t="s">
        <v>455</v>
      </c>
      <c r="D107" s="7"/>
      <c r="E107" s="208">
        <f>18736.04+69047.7</f>
        <v>87783.739999999991</v>
      </c>
      <c r="F107" s="237">
        <v>0</v>
      </c>
    </row>
    <row r="108" spans="2:6" x14ac:dyDescent="0.25">
      <c r="B108" s="7" t="s">
        <v>394</v>
      </c>
      <c r="D108" s="7"/>
      <c r="E108" s="208">
        <v>88183.76</v>
      </c>
      <c r="F108" s="237">
        <v>0</v>
      </c>
    </row>
    <row r="109" spans="2:6" ht="18.75" customHeight="1" x14ac:dyDescent="0.25">
      <c r="B109" s="16" t="s">
        <v>158</v>
      </c>
      <c r="C109" s="16"/>
      <c r="D109" s="7"/>
      <c r="E109" s="210">
        <f>SUM(E98:E108)</f>
        <v>2661090.7299999995</v>
      </c>
      <c r="F109" s="238">
        <f>SUM(F98:F108)</f>
        <v>12622.83</v>
      </c>
    </row>
    <row r="110" spans="2:6" ht="16.5" thickBot="1" x14ac:dyDescent="0.3">
      <c r="B110" s="16" t="s">
        <v>159</v>
      </c>
      <c r="C110" s="17"/>
      <c r="D110" s="7"/>
      <c r="E110" s="211">
        <f>E91+E109</f>
        <v>3362775.4999999995</v>
      </c>
      <c r="F110" s="211">
        <f>F91+F109</f>
        <v>965808.50299999991</v>
      </c>
    </row>
    <row r="111" spans="2:6" ht="15.75" thickTop="1" x14ac:dyDescent="0.25"/>
    <row r="112" spans="2:6" ht="24.75" customHeight="1" x14ac:dyDescent="0.25">
      <c r="B112" s="15" t="s">
        <v>395</v>
      </c>
      <c r="C112" s="14"/>
    </row>
    <row r="113" spans="2:7" x14ac:dyDescent="0.25">
      <c r="B113" s="7" t="s">
        <v>376</v>
      </c>
    </row>
    <row r="115" spans="2:7" ht="15.75" x14ac:dyDescent="0.25">
      <c r="B115" s="14" t="s">
        <v>121</v>
      </c>
      <c r="D115" s="7"/>
      <c r="E115" s="239">
        <v>2024</v>
      </c>
      <c r="F115" s="239">
        <v>2023</v>
      </c>
    </row>
    <row r="116" spans="2:7" x14ac:dyDescent="0.25">
      <c r="B116" s="7" t="s">
        <v>297</v>
      </c>
      <c r="D116" s="7"/>
      <c r="E116" s="208">
        <v>486198.79</v>
      </c>
      <c r="F116" s="208">
        <v>291948.96000000002</v>
      </c>
    </row>
    <row r="117" spans="2:7" x14ac:dyDescent="0.25">
      <c r="B117" s="7" t="s">
        <v>298</v>
      </c>
      <c r="D117" s="7"/>
      <c r="E117" s="208">
        <v>106280.3</v>
      </c>
      <c r="F117" s="208">
        <v>95665.17</v>
      </c>
    </row>
    <row r="118" spans="2:7" ht="15.75" thickBot="1" x14ac:dyDescent="0.3">
      <c r="D118" s="7"/>
      <c r="E118" s="212">
        <f>SUM(E116:E117)</f>
        <v>592479.09</v>
      </c>
      <c r="F118" s="212">
        <f>SUM(F116:F117)</f>
        <v>387614.13</v>
      </c>
    </row>
    <row r="119" spans="2:7" ht="43.5" customHeight="1" thickTop="1" x14ac:dyDescent="0.25">
      <c r="B119" s="15" t="s">
        <v>396</v>
      </c>
      <c r="C119" s="14"/>
    </row>
    <row r="120" spans="2:7" ht="41.25" customHeight="1" x14ac:dyDescent="0.25">
      <c r="B120" s="20">
        <v>2023</v>
      </c>
      <c r="C120" s="194" t="s">
        <v>160</v>
      </c>
      <c r="D120" s="149" t="s">
        <v>161</v>
      </c>
      <c r="E120" s="213" t="s">
        <v>162</v>
      </c>
      <c r="F120" s="213" t="s">
        <v>163</v>
      </c>
      <c r="G120" s="131" t="s">
        <v>125</v>
      </c>
    </row>
    <row r="121" spans="2:7" ht="19.5" customHeight="1" x14ac:dyDescent="0.25">
      <c r="B121" s="19" t="s">
        <v>164</v>
      </c>
    </row>
    <row r="122" spans="2:7" x14ac:dyDescent="0.25">
      <c r="B122" s="14" t="s">
        <v>165</v>
      </c>
      <c r="C122" s="191">
        <v>54174620</v>
      </c>
      <c r="D122" s="145">
        <v>22509591</v>
      </c>
      <c r="E122" s="214">
        <v>19121875.170000002</v>
      </c>
      <c r="F122" s="214">
        <v>13947683</v>
      </c>
      <c r="G122" s="18">
        <v>109753769.147</v>
      </c>
    </row>
    <row r="123" spans="2:7" x14ac:dyDescent="0.25">
      <c r="B123" s="7" t="s">
        <v>166</v>
      </c>
      <c r="D123" s="141"/>
      <c r="E123" s="203">
        <v>2766737.12</v>
      </c>
      <c r="G123" s="8">
        <f>SUM(D123:F123)</f>
        <v>2766737.12</v>
      </c>
    </row>
    <row r="124" spans="2:7" x14ac:dyDescent="0.25">
      <c r="B124" s="14" t="s">
        <v>167</v>
      </c>
      <c r="C124" s="191">
        <f>SUM(C122:C123)</f>
        <v>54174620</v>
      </c>
      <c r="D124" s="145">
        <v>22509591</v>
      </c>
      <c r="E124" s="214">
        <f>SUM(E122:E123)</f>
        <v>21888612.290000003</v>
      </c>
      <c r="F124" s="214">
        <v>13947683</v>
      </c>
      <c r="G124" s="18">
        <f>SUM(C124:F124)</f>
        <v>112520506.29000001</v>
      </c>
    </row>
    <row r="125" spans="2:7" x14ac:dyDescent="0.25">
      <c r="D125" s="141"/>
      <c r="G125" s="8"/>
    </row>
    <row r="126" spans="2:7" x14ac:dyDescent="0.25">
      <c r="B126" s="14" t="s">
        <v>170</v>
      </c>
      <c r="D126" s="141"/>
      <c r="G126" s="8">
        <v>0</v>
      </c>
    </row>
    <row r="127" spans="2:7" x14ac:dyDescent="0.25">
      <c r="B127" s="14" t="s">
        <v>168</v>
      </c>
      <c r="C127" s="14"/>
      <c r="D127" s="145">
        <v>-2096874.93</v>
      </c>
      <c r="E127" s="214">
        <v>-11239922.949999999</v>
      </c>
      <c r="F127" s="214">
        <v>-11318424.17</v>
      </c>
      <c r="G127" s="18">
        <f>-24655222.05-0.5</f>
        <v>-24655222.550000001</v>
      </c>
    </row>
    <row r="128" spans="2:7" ht="19.5" customHeight="1" x14ac:dyDescent="0.25">
      <c r="B128" s="7" t="s">
        <v>169</v>
      </c>
      <c r="D128" s="141">
        <f>-370099.99-202434.9</f>
        <v>-572534.89</v>
      </c>
      <c r="E128" s="203">
        <v>-1255730</v>
      </c>
      <c r="F128" s="203">
        <v>-1692717.07</v>
      </c>
      <c r="G128" s="8">
        <f>SUM(D128:F128)</f>
        <v>-3520981.96</v>
      </c>
    </row>
    <row r="129" spans="2:8" x14ac:dyDescent="0.25">
      <c r="B129" s="7" t="s">
        <v>166</v>
      </c>
      <c r="D129" s="141" t="s">
        <v>134</v>
      </c>
      <c r="F129" s="203" t="s">
        <v>134</v>
      </c>
      <c r="G129" s="8">
        <v>0</v>
      </c>
    </row>
    <row r="130" spans="2:8" x14ac:dyDescent="0.25">
      <c r="B130" s="14" t="s">
        <v>167</v>
      </c>
      <c r="C130" s="14"/>
      <c r="D130" s="145">
        <f>SUM(D127:D129)</f>
        <v>-2669409.8199999998</v>
      </c>
      <c r="E130" s="214">
        <f>SUM(E127:E129)</f>
        <v>-12495652.949999999</v>
      </c>
      <c r="F130" s="214">
        <f>SUM(F127:F129)</f>
        <v>-13011141.24</v>
      </c>
      <c r="G130" s="18">
        <f>-28176204.11+0.5</f>
        <v>-28176203.609999999</v>
      </c>
    </row>
    <row r="131" spans="2:8" ht="15.75" thickBot="1" x14ac:dyDescent="0.3">
      <c r="B131" s="14" t="s">
        <v>171</v>
      </c>
      <c r="C131" s="193">
        <f>C124</f>
        <v>54174620</v>
      </c>
      <c r="D131" s="144">
        <f>D124+D130</f>
        <v>19840181.18</v>
      </c>
      <c r="E131" s="215">
        <f>E124+E130</f>
        <v>9392959.3400000036</v>
      </c>
      <c r="F131" s="215">
        <f>F124+F130</f>
        <v>936541.75999999978</v>
      </c>
      <c r="G131" s="132">
        <f>G124+G130</f>
        <v>84344302.680000007</v>
      </c>
    </row>
    <row r="132" spans="2:8" ht="15.75" thickTop="1" x14ac:dyDescent="0.25">
      <c r="B132" s="14"/>
      <c r="C132" s="201"/>
      <c r="D132" s="146"/>
      <c r="E132" s="216"/>
      <c r="F132" s="216"/>
      <c r="G132" s="133"/>
    </row>
    <row r="133" spans="2:8" x14ac:dyDescent="0.25">
      <c r="B133" s="14"/>
      <c r="C133" s="201"/>
      <c r="D133" s="146"/>
      <c r="E133" s="216"/>
      <c r="F133" s="216"/>
      <c r="G133" s="133"/>
    </row>
    <row r="134" spans="2:8" x14ac:dyDescent="0.25">
      <c r="B134" s="14"/>
      <c r="C134" s="201"/>
      <c r="D134" s="146"/>
      <c r="E134" s="216"/>
      <c r="F134" s="216"/>
      <c r="G134" s="133"/>
    </row>
    <row r="135" spans="2:8" x14ac:dyDescent="0.25">
      <c r="B135" s="14"/>
      <c r="C135" s="201"/>
      <c r="D135" s="146"/>
      <c r="E135" s="216"/>
      <c r="F135" s="216"/>
      <c r="G135" s="133"/>
    </row>
    <row r="136" spans="2:8" ht="27.75" customHeight="1" x14ac:dyDescent="0.25">
      <c r="B136" s="15" t="s">
        <v>396</v>
      </c>
      <c r="C136" s="14"/>
    </row>
    <row r="137" spans="2:8" ht="47.25" customHeight="1" x14ac:dyDescent="0.25">
      <c r="B137" s="20">
        <v>2024</v>
      </c>
      <c r="C137" s="194" t="s">
        <v>160</v>
      </c>
      <c r="D137" s="149" t="s">
        <v>161</v>
      </c>
      <c r="E137" s="213" t="s">
        <v>162</v>
      </c>
      <c r="F137" s="213" t="s">
        <v>163</v>
      </c>
      <c r="G137" s="131" t="s">
        <v>125</v>
      </c>
    </row>
    <row r="138" spans="2:8" ht="18.75" customHeight="1" x14ac:dyDescent="0.25">
      <c r="B138" s="19" t="s">
        <v>164</v>
      </c>
    </row>
    <row r="139" spans="2:8" x14ac:dyDescent="0.25">
      <c r="B139" s="14" t="s">
        <v>165</v>
      </c>
      <c r="C139" s="191">
        <v>54174620</v>
      </c>
      <c r="D139" s="18">
        <v>22509591</v>
      </c>
      <c r="E139" s="214">
        <v>21888612</v>
      </c>
      <c r="F139" s="214">
        <v>13947683</v>
      </c>
      <c r="G139" s="18">
        <f>SUM(C139:F139)</f>
        <v>112520506</v>
      </c>
      <c r="H139" s="8"/>
    </row>
    <row r="140" spans="2:8" x14ac:dyDescent="0.25">
      <c r="B140" s="14" t="s">
        <v>417</v>
      </c>
      <c r="C140" s="191"/>
      <c r="D140" s="18">
        <v>0</v>
      </c>
      <c r="E140" s="217">
        <v>-2380201.4500000002</v>
      </c>
      <c r="F140" s="217">
        <v>1897061.71</v>
      </c>
      <c r="G140" s="18">
        <f>SUM(E140:F140)</f>
        <v>-483139.74000000022</v>
      </c>
      <c r="H140" s="8"/>
    </row>
    <row r="141" spans="2:8" x14ac:dyDescent="0.25">
      <c r="B141" s="7" t="s">
        <v>166</v>
      </c>
      <c r="C141" s="8"/>
      <c r="D141" s="8">
        <v>0</v>
      </c>
      <c r="E141" s="203">
        <v>769787.38</v>
      </c>
      <c r="F141" s="203">
        <v>5906000</v>
      </c>
      <c r="G141" s="8">
        <f>SUM(C141:F141)</f>
        <v>6675787.3799999999</v>
      </c>
      <c r="H141" s="8"/>
    </row>
    <row r="142" spans="2:8" x14ac:dyDescent="0.25">
      <c r="B142" s="7" t="s">
        <v>397</v>
      </c>
      <c r="C142" s="8"/>
      <c r="D142" s="8">
        <v>0</v>
      </c>
      <c r="E142" s="203">
        <v>-5086831.04</v>
      </c>
      <c r="F142" s="203">
        <v>-2904039.71</v>
      </c>
      <c r="G142" s="8">
        <f>SUM(C142:F142)</f>
        <v>-7990870.75</v>
      </c>
      <c r="H142" s="8"/>
    </row>
    <row r="143" spans="2:8" x14ac:dyDescent="0.25">
      <c r="C143" s="200">
        <f>SUM(C139:C142)</f>
        <v>54174620</v>
      </c>
      <c r="D143" s="18">
        <f>SUM(D139:D142)</f>
        <v>22509591</v>
      </c>
      <c r="E143" s="214">
        <f>SUM(E138:E142)</f>
        <v>15191366.890000001</v>
      </c>
      <c r="F143" s="214">
        <f>SUM(F139:F142)</f>
        <v>18846705</v>
      </c>
      <c r="G143" s="18">
        <f>SUM(G139:G142)</f>
        <v>110722282.89</v>
      </c>
      <c r="H143" s="8"/>
    </row>
    <row r="144" spans="2:8" ht="10.5" customHeight="1" x14ac:dyDescent="0.25">
      <c r="C144" s="8"/>
      <c r="D144" s="8"/>
      <c r="G144" s="8"/>
      <c r="H144" s="8"/>
    </row>
    <row r="145" spans="2:8" x14ac:dyDescent="0.25">
      <c r="B145" s="19" t="s">
        <v>170</v>
      </c>
      <c r="C145" s="8"/>
      <c r="D145" s="18"/>
      <c r="E145" s="214"/>
      <c r="F145" s="214"/>
      <c r="G145" s="18"/>
      <c r="H145" s="8"/>
    </row>
    <row r="146" spans="2:8" x14ac:dyDescent="0.25">
      <c r="B146" s="14" t="s">
        <v>168</v>
      </c>
      <c r="C146" s="18"/>
      <c r="D146" s="18">
        <v>-2669410</v>
      </c>
      <c r="E146" s="214">
        <v>-12495652.949999999</v>
      </c>
      <c r="F146" s="214">
        <v>-13011141.24</v>
      </c>
      <c r="G146" s="18">
        <v>-28176204.109999999</v>
      </c>
      <c r="H146" s="8"/>
    </row>
    <row r="147" spans="2:8" x14ac:dyDescent="0.25">
      <c r="B147" s="7" t="s">
        <v>169</v>
      </c>
      <c r="C147" s="8"/>
      <c r="D147" s="8">
        <v>-443712.68</v>
      </c>
      <c r="E147" s="203">
        <v>-1694118.85</v>
      </c>
      <c r="F147" s="203">
        <v>-1346083.35</v>
      </c>
      <c r="G147" s="8">
        <f>SUM(D147:F147)</f>
        <v>-3483914.8800000004</v>
      </c>
      <c r="H147" s="8"/>
    </row>
    <row r="148" spans="2:8" x14ac:dyDescent="0.25">
      <c r="B148" s="7" t="s">
        <v>397</v>
      </c>
      <c r="C148" s="8"/>
      <c r="D148" s="8">
        <v>0</v>
      </c>
      <c r="E148" s="203">
        <v>3566038.91</v>
      </c>
      <c r="F148" s="203">
        <v>2904037.71</v>
      </c>
      <c r="G148" s="8">
        <f>SUM(D148:F148)</f>
        <v>6470076.6200000001</v>
      </c>
      <c r="H148" s="8"/>
    </row>
    <row r="149" spans="2:8" x14ac:dyDescent="0.25">
      <c r="B149" s="7" t="s">
        <v>418</v>
      </c>
      <c r="C149" s="18"/>
      <c r="D149" s="18">
        <v>0</v>
      </c>
      <c r="E149" s="218">
        <v>-298110.08000000002</v>
      </c>
      <c r="F149" s="218">
        <v>46496.09</v>
      </c>
      <c r="G149" s="18">
        <f>SUM(D149:F149)</f>
        <v>-251613.99000000002</v>
      </c>
      <c r="H149" s="8"/>
    </row>
    <row r="150" spans="2:8" x14ac:dyDescent="0.25">
      <c r="B150" s="14" t="s">
        <v>167</v>
      </c>
      <c r="C150" s="196"/>
      <c r="D150" s="196">
        <f>SUM(D146:D149)</f>
        <v>-3113122.68</v>
      </c>
      <c r="E150" s="216">
        <f t="shared" ref="E150:G150" si="0">SUM(E146:E149)</f>
        <v>-10921842.969999999</v>
      </c>
      <c r="F150" s="216">
        <f t="shared" si="0"/>
        <v>-11406690.789999999</v>
      </c>
      <c r="G150" s="196">
        <f t="shared" si="0"/>
        <v>-25441656.359999996</v>
      </c>
      <c r="H150" s="8"/>
    </row>
    <row r="151" spans="2:8" ht="21" customHeight="1" thickBot="1" x14ac:dyDescent="0.3">
      <c r="B151" s="14" t="s">
        <v>171</v>
      </c>
      <c r="C151" s="198">
        <f>C143+C150</f>
        <v>54174620</v>
      </c>
      <c r="D151" s="198">
        <f t="shared" ref="D151:G151" si="1">D143+D150</f>
        <v>19396468.32</v>
      </c>
      <c r="E151" s="219">
        <f t="shared" si="1"/>
        <v>4269523.9200000018</v>
      </c>
      <c r="F151" s="219">
        <f t="shared" si="1"/>
        <v>7440014.2100000009</v>
      </c>
      <c r="G151" s="198">
        <f t="shared" si="1"/>
        <v>85280626.530000001</v>
      </c>
      <c r="H151" s="8"/>
    </row>
    <row r="152" spans="2:8" ht="21" customHeight="1" thickTop="1" x14ac:dyDescent="0.25">
      <c r="B152" s="14" t="s">
        <v>433</v>
      </c>
      <c r="C152" s="197"/>
      <c r="D152" s="197"/>
      <c r="E152" s="220"/>
      <c r="F152" s="220"/>
      <c r="G152" s="197"/>
      <c r="H152" s="8"/>
    </row>
    <row r="153" spans="2:8" ht="21" customHeight="1" x14ac:dyDescent="0.25">
      <c r="B153" s="14" t="s">
        <v>458</v>
      </c>
      <c r="C153" s="197"/>
      <c r="D153" s="197"/>
      <c r="E153" s="220"/>
      <c r="F153" s="220"/>
      <c r="G153" s="197"/>
      <c r="H153" s="8"/>
    </row>
    <row r="154" spans="2:8" ht="13.5" customHeight="1" x14ac:dyDescent="0.25">
      <c r="B154" s="14" t="s">
        <v>456</v>
      </c>
      <c r="C154" s="197"/>
      <c r="D154" s="197"/>
      <c r="E154" s="220"/>
      <c r="F154" s="220"/>
      <c r="G154" s="197"/>
      <c r="H154" s="8"/>
    </row>
    <row r="155" spans="2:8" ht="18.75" customHeight="1" x14ac:dyDescent="0.25">
      <c r="B155" s="14" t="s">
        <v>457</v>
      </c>
      <c r="C155" s="197"/>
      <c r="D155" s="197"/>
      <c r="E155" s="220"/>
      <c r="F155" s="220"/>
      <c r="G155" s="197"/>
      <c r="H155" s="8"/>
    </row>
    <row r="157" spans="2:8" ht="15.75" x14ac:dyDescent="0.25">
      <c r="B157" s="14" t="s">
        <v>405</v>
      </c>
      <c r="D157" s="7"/>
      <c r="E157" s="230">
        <v>2024</v>
      </c>
      <c r="F157" s="230">
        <v>2023</v>
      </c>
    </row>
    <row r="158" spans="2:8" ht="15" customHeight="1" x14ac:dyDescent="0.25">
      <c r="B158" s="14" t="s">
        <v>299</v>
      </c>
      <c r="D158" s="7"/>
      <c r="E158" s="208"/>
      <c r="F158" s="208"/>
    </row>
    <row r="159" spans="2:8" x14ac:dyDescent="0.25">
      <c r="B159" s="14" t="s">
        <v>300</v>
      </c>
      <c r="D159" s="7"/>
      <c r="E159" s="208">
        <v>2107639.1800000002</v>
      </c>
      <c r="F159" s="208">
        <v>1970639.18</v>
      </c>
    </row>
    <row r="160" spans="2:8" x14ac:dyDescent="0.25">
      <c r="B160" s="14" t="s">
        <v>397</v>
      </c>
      <c r="D160" s="7"/>
      <c r="E160" s="208">
        <v>-1970639.18</v>
      </c>
      <c r="F160" s="208">
        <v>0</v>
      </c>
    </row>
    <row r="161" spans="2:9" x14ac:dyDescent="0.25">
      <c r="B161" s="7" t="s">
        <v>172</v>
      </c>
      <c r="D161" s="7"/>
      <c r="E161" s="208">
        <v>195000</v>
      </c>
      <c r="F161" s="208">
        <v>137000</v>
      </c>
    </row>
    <row r="162" spans="2:9" ht="16.5" customHeight="1" x14ac:dyDescent="0.25">
      <c r="B162" s="14" t="s">
        <v>420</v>
      </c>
      <c r="C162" s="14"/>
      <c r="D162" s="14"/>
      <c r="E162" s="221">
        <f>SUM(E159:E161)</f>
        <v>332000.00000000023</v>
      </c>
      <c r="F162" s="221">
        <f>SUM(F159:F161)</f>
        <v>2107639.1799999997</v>
      </c>
      <c r="G162" s="14"/>
    </row>
    <row r="163" spans="2:9" ht="29.25" customHeight="1" x14ac:dyDescent="0.25">
      <c r="B163" s="14" t="s">
        <v>421</v>
      </c>
      <c r="C163" s="14"/>
      <c r="D163" s="14"/>
      <c r="E163" s="221"/>
      <c r="F163" s="221"/>
      <c r="G163" s="195"/>
    </row>
    <row r="164" spans="2:9" ht="14.25" customHeight="1" x14ac:dyDescent="0.25">
      <c r="B164" s="7" t="s">
        <v>419</v>
      </c>
      <c r="C164" s="14"/>
      <c r="D164" s="14"/>
      <c r="E164" s="208">
        <v>1905635</v>
      </c>
      <c r="F164" s="208">
        <v>-1699797.6</v>
      </c>
      <c r="G164" s="195"/>
    </row>
    <row r="165" spans="2:9" ht="14.25" customHeight="1" x14ac:dyDescent="0.25">
      <c r="B165" s="14" t="s">
        <v>397</v>
      </c>
      <c r="C165" s="14"/>
      <c r="D165" s="14"/>
      <c r="E165" s="208">
        <v>-1970039.18</v>
      </c>
      <c r="F165" s="221">
        <v>0</v>
      </c>
      <c r="G165" s="14"/>
    </row>
    <row r="166" spans="2:9" x14ac:dyDescent="0.25">
      <c r="B166" s="7" t="s">
        <v>173</v>
      </c>
      <c r="D166" s="7"/>
      <c r="E166" s="208">
        <v>109003.46</v>
      </c>
      <c r="F166" s="208">
        <v>-205837.2</v>
      </c>
    </row>
    <row r="167" spans="2:9" x14ac:dyDescent="0.25">
      <c r="B167" s="14" t="s">
        <v>422</v>
      </c>
      <c r="D167" s="7"/>
      <c r="E167" s="220">
        <f>SUM(E166:E166)</f>
        <v>109003.46</v>
      </c>
      <c r="F167" s="220">
        <f>SUM(F164:F166)</f>
        <v>-1905634.8</v>
      </c>
      <c r="I167" s="195"/>
    </row>
    <row r="168" spans="2:9" ht="15.75" thickBot="1" x14ac:dyDescent="0.3">
      <c r="B168" s="14" t="s">
        <v>423</v>
      </c>
      <c r="D168" s="7"/>
      <c r="E168" s="212">
        <v>288000.3</v>
      </c>
      <c r="F168" s="212">
        <f>F162+F167</f>
        <v>202004.37999999966</v>
      </c>
      <c r="I168" s="195"/>
    </row>
    <row r="169" spans="2:9" ht="15.75" thickTop="1" x14ac:dyDescent="0.25">
      <c r="B169" s="14"/>
      <c r="D169" s="7"/>
      <c r="E169" s="220"/>
      <c r="F169" s="220"/>
      <c r="I169" s="195"/>
    </row>
    <row r="170" spans="2:9" x14ac:dyDescent="0.25">
      <c r="B170" s="14" t="s">
        <v>424</v>
      </c>
      <c r="C170" s="14"/>
      <c r="I170" s="199"/>
    </row>
    <row r="171" spans="2:9" x14ac:dyDescent="0.25">
      <c r="B171" s="7" t="s">
        <v>377</v>
      </c>
      <c r="I171" s="199"/>
    </row>
    <row r="172" spans="2:9" x14ac:dyDescent="0.25">
      <c r="B172" s="14" t="s">
        <v>174</v>
      </c>
      <c r="I172" s="199"/>
    </row>
    <row r="173" spans="2:9" ht="19.5" customHeight="1" x14ac:dyDescent="0.25">
      <c r="B173" s="14" t="s">
        <v>175</v>
      </c>
      <c r="C173" s="192" t="s">
        <v>176</v>
      </c>
      <c r="D173" s="14" t="s">
        <v>177</v>
      </c>
      <c r="E173" s="230">
        <v>2024</v>
      </c>
      <c r="F173" s="230">
        <v>2023</v>
      </c>
      <c r="I173" s="197"/>
    </row>
    <row r="174" spans="2:9" ht="19.5" customHeight="1" x14ac:dyDescent="0.25">
      <c r="B174" s="7" t="s">
        <v>440</v>
      </c>
      <c r="C174" s="190" t="s">
        <v>441</v>
      </c>
      <c r="D174" s="7" t="s">
        <v>442</v>
      </c>
      <c r="E174" s="229"/>
      <c r="F174" s="229">
        <v>760</v>
      </c>
      <c r="I174" s="199"/>
    </row>
    <row r="175" spans="2:9" ht="15.75" customHeight="1" x14ac:dyDescent="0.25">
      <c r="B175" s="7" t="s">
        <v>440</v>
      </c>
      <c r="C175" s="190" t="s">
        <v>443</v>
      </c>
      <c r="D175" s="7" t="s">
        <v>442</v>
      </c>
      <c r="E175" s="229"/>
      <c r="F175" s="229">
        <v>1512</v>
      </c>
      <c r="I175" s="197"/>
    </row>
    <row r="176" spans="2:9" ht="15" customHeight="1" x14ac:dyDescent="0.25">
      <c r="B176" s="7" t="s">
        <v>444</v>
      </c>
      <c r="C176" s="190" t="s">
        <v>445</v>
      </c>
      <c r="D176" s="7" t="s">
        <v>446</v>
      </c>
      <c r="E176" s="229"/>
      <c r="F176" s="229">
        <v>121209.75</v>
      </c>
      <c r="I176" s="199"/>
    </row>
    <row r="177" spans="2:6" x14ac:dyDescent="0.25">
      <c r="B177" s="7" t="s">
        <v>331</v>
      </c>
      <c r="C177" s="190" t="s">
        <v>178</v>
      </c>
      <c r="D177" s="7" t="s">
        <v>179</v>
      </c>
      <c r="E177" s="208">
        <v>60680.43</v>
      </c>
      <c r="F177" s="208">
        <v>60680.43</v>
      </c>
    </row>
    <row r="178" spans="2:6" x14ac:dyDescent="0.25">
      <c r="B178" s="7" t="s">
        <v>331</v>
      </c>
      <c r="C178" s="190" t="s">
        <v>180</v>
      </c>
      <c r="D178" s="7" t="s">
        <v>179</v>
      </c>
      <c r="E178" s="208">
        <v>54055.4</v>
      </c>
      <c r="F178" s="208">
        <v>54055.4</v>
      </c>
    </row>
    <row r="179" spans="2:6" x14ac:dyDescent="0.25">
      <c r="B179" s="7" t="s">
        <v>331</v>
      </c>
      <c r="C179" s="190" t="s">
        <v>389</v>
      </c>
      <c r="D179" s="7" t="s">
        <v>179</v>
      </c>
      <c r="E179" s="208">
        <v>86382.86</v>
      </c>
      <c r="F179" s="208">
        <v>0</v>
      </c>
    </row>
    <row r="180" spans="2:6" x14ac:dyDescent="0.25">
      <c r="B180" s="7" t="s">
        <v>398</v>
      </c>
      <c r="C180" s="190" t="s">
        <v>435</v>
      </c>
      <c r="D180" s="7" t="s">
        <v>399</v>
      </c>
      <c r="E180" s="208">
        <v>28074.98</v>
      </c>
      <c r="F180" s="208">
        <v>0</v>
      </c>
    </row>
    <row r="181" spans="2:6" x14ac:dyDescent="0.25">
      <c r="B181" s="7" t="s">
        <v>401</v>
      </c>
      <c r="C181" s="190" t="s">
        <v>436</v>
      </c>
      <c r="D181" s="7" t="s">
        <v>400</v>
      </c>
      <c r="E181" s="208">
        <v>24573.5</v>
      </c>
      <c r="F181" s="208">
        <v>0</v>
      </c>
    </row>
    <row r="182" spans="2:6" x14ac:dyDescent="0.25">
      <c r="B182" s="7" t="s">
        <v>402</v>
      </c>
      <c r="C182" s="190" t="s">
        <v>403</v>
      </c>
      <c r="D182" s="7" t="s">
        <v>404</v>
      </c>
      <c r="E182" s="208">
        <v>207888.82</v>
      </c>
      <c r="F182" s="208">
        <v>0</v>
      </c>
    </row>
    <row r="183" spans="2:6" ht="15.75" thickBot="1" x14ac:dyDescent="0.3">
      <c r="B183" s="14" t="s">
        <v>125</v>
      </c>
      <c r="C183" s="14"/>
      <c r="D183" s="7"/>
      <c r="E183" s="212">
        <f>SUM(E177:E182)</f>
        <v>461655.99</v>
      </c>
      <c r="F183" s="212">
        <f>SUM(F174:F182)</f>
        <v>238217.58</v>
      </c>
    </row>
    <row r="184" spans="2:6" ht="15.75" thickTop="1" x14ac:dyDescent="0.25"/>
    <row r="186" spans="2:6" x14ac:dyDescent="0.25">
      <c r="B186" s="14" t="s">
        <v>406</v>
      </c>
      <c r="C186" s="14"/>
    </row>
    <row r="187" spans="2:6" x14ac:dyDescent="0.25">
      <c r="B187" s="7" t="s">
        <v>378</v>
      </c>
    </row>
    <row r="188" spans="2:6" ht="15.75" x14ac:dyDescent="0.25">
      <c r="B188" s="14" t="s">
        <v>174</v>
      </c>
      <c r="D188" s="7"/>
      <c r="E188" s="230">
        <v>2024</v>
      </c>
      <c r="F188" s="230">
        <v>2023</v>
      </c>
    </row>
    <row r="189" spans="2:6" x14ac:dyDescent="0.25">
      <c r="B189" s="7" t="s">
        <v>181</v>
      </c>
      <c r="D189" s="7"/>
      <c r="E189" s="208">
        <v>6756.97</v>
      </c>
      <c r="F189" s="208">
        <v>28320.36</v>
      </c>
    </row>
    <row r="190" spans="2:6" x14ac:dyDescent="0.25">
      <c r="B190" s="7" t="s">
        <v>182</v>
      </c>
      <c r="D190" s="7"/>
      <c r="E190" s="208">
        <v>16126.57</v>
      </c>
      <c r="F190" s="208">
        <v>20785.22</v>
      </c>
    </row>
    <row r="191" spans="2:6" ht="15.75" thickBot="1" x14ac:dyDescent="0.3">
      <c r="B191" s="14" t="s">
        <v>125</v>
      </c>
      <c r="D191" s="7"/>
      <c r="E191" s="212">
        <f>SUM(E189:E190)</f>
        <v>22883.54</v>
      </c>
      <c r="F191" s="212">
        <f>SUM(F189:F190)</f>
        <v>49105.58</v>
      </c>
    </row>
    <row r="192" spans="2:6" ht="15.75" thickTop="1" x14ac:dyDescent="0.25"/>
    <row r="193" spans="2:6" x14ac:dyDescent="0.25">
      <c r="B193" s="14" t="s">
        <v>407</v>
      </c>
      <c r="C193" s="14"/>
    </row>
    <row r="194" spans="2:6" x14ac:dyDescent="0.25">
      <c r="B194" s="7" t="s">
        <v>305</v>
      </c>
    </row>
    <row r="195" spans="2:6" x14ac:dyDescent="0.25">
      <c r="B195" s="7" t="s">
        <v>183</v>
      </c>
    </row>
    <row r="196" spans="2:6" x14ac:dyDescent="0.25">
      <c r="B196" s="14" t="s">
        <v>174</v>
      </c>
    </row>
    <row r="197" spans="2:6" ht="15.75" x14ac:dyDescent="0.25">
      <c r="B197" s="14" t="s">
        <v>175</v>
      </c>
      <c r="C197" s="14" t="s">
        <v>176</v>
      </c>
      <c r="D197" s="7"/>
      <c r="E197" s="230">
        <v>2024</v>
      </c>
      <c r="F197" s="230">
        <v>2023</v>
      </c>
    </row>
    <row r="198" spans="2:6" ht="15.75" thickBot="1" x14ac:dyDescent="0.3">
      <c r="B198" s="7" t="s">
        <v>184</v>
      </c>
      <c r="C198" s="7" t="s">
        <v>185</v>
      </c>
      <c r="D198" s="7"/>
      <c r="E198" s="222">
        <v>462692.16</v>
      </c>
      <c r="F198" s="222">
        <v>462692.16</v>
      </c>
    </row>
    <row r="199" spans="2:6" ht="15.75" thickTop="1" x14ac:dyDescent="0.25"/>
    <row r="200" spans="2:6" x14ac:dyDescent="0.25">
      <c r="B200" s="14" t="s">
        <v>408</v>
      </c>
      <c r="C200" s="14"/>
    </row>
    <row r="201" spans="2:6" x14ac:dyDescent="0.25">
      <c r="B201" s="14" t="s">
        <v>186</v>
      </c>
    </row>
    <row r="202" spans="2:6" x14ac:dyDescent="0.25">
      <c r="B202" s="14"/>
    </row>
    <row r="203" spans="2:6" x14ac:dyDescent="0.25">
      <c r="B203" s="7" t="s">
        <v>379</v>
      </c>
    </row>
    <row r="204" spans="2:6" ht="15.75" x14ac:dyDescent="0.25">
      <c r="B204" s="14" t="s">
        <v>187</v>
      </c>
      <c r="D204" s="7"/>
      <c r="E204" s="239">
        <v>2024</v>
      </c>
      <c r="F204" s="239">
        <v>2023</v>
      </c>
    </row>
    <row r="205" spans="2:6" x14ac:dyDescent="0.25">
      <c r="B205" s="7" t="s">
        <v>186</v>
      </c>
      <c r="D205" s="7"/>
      <c r="E205" s="240">
        <v>8745735</v>
      </c>
      <c r="F205" s="240">
        <v>8745735</v>
      </c>
    </row>
    <row r="206" spans="2:6" x14ac:dyDescent="0.25">
      <c r="B206" s="7" t="s">
        <v>188</v>
      </c>
      <c r="D206" s="7"/>
      <c r="E206" s="240">
        <v>32440790</v>
      </c>
      <c r="F206" s="240">
        <v>52828223</v>
      </c>
    </row>
    <row r="207" spans="2:6" ht="15.75" customHeight="1" x14ac:dyDescent="0.25">
      <c r="B207" s="7" t="s">
        <v>189</v>
      </c>
      <c r="D207" s="7"/>
      <c r="E207" s="240">
        <v>275998841</v>
      </c>
      <c r="F207" s="240">
        <v>223170618</v>
      </c>
    </row>
    <row r="208" spans="2:6" x14ac:dyDescent="0.25">
      <c r="B208" s="7" t="s">
        <v>447</v>
      </c>
      <c r="D208" s="7"/>
      <c r="E208" s="241">
        <v>-5156529.54</v>
      </c>
      <c r="F208" s="240" t="s">
        <v>459</v>
      </c>
    </row>
    <row r="209" spans="2:7" ht="21.75" customHeight="1" thickBot="1" x14ac:dyDescent="0.3">
      <c r="B209" s="14" t="s">
        <v>125</v>
      </c>
      <c r="D209" s="7"/>
      <c r="E209" s="242">
        <f>SUM(E205:E208)</f>
        <v>312028836.45999998</v>
      </c>
      <c r="F209" s="242">
        <f>SUM(F205:F208)</f>
        <v>284744576</v>
      </c>
    </row>
    <row r="210" spans="2:7" ht="15.75" thickTop="1" x14ac:dyDescent="0.25">
      <c r="E210" s="237"/>
      <c r="F210" s="237"/>
    </row>
    <row r="212" spans="2:7" x14ac:dyDescent="0.25">
      <c r="B212" s="14" t="s">
        <v>343</v>
      </c>
      <c r="G212" s="14"/>
    </row>
    <row r="213" spans="2:7" x14ac:dyDescent="0.25">
      <c r="B213" s="14" t="s">
        <v>190</v>
      </c>
    </row>
    <row r="214" spans="2:7" x14ac:dyDescent="0.25">
      <c r="B214" s="14" t="s">
        <v>409</v>
      </c>
    </row>
    <row r="215" spans="2:7" x14ac:dyDescent="0.25">
      <c r="B215" s="7" t="s">
        <v>380</v>
      </c>
    </row>
    <row r="216" spans="2:7" ht="15.75" x14ac:dyDescent="0.25">
      <c r="B216" s="14" t="s">
        <v>174</v>
      </c>
      <c r="D216" s="7"/>
      <c r="E216" s="230">
        <v>2024</v>
      </c>
      <c r="F216" s="230">
        <v>2023</v>
      </c>
      <c r="G216" s="189"/>
    </row>
    <row r="217" spans="2:7" x14ac:dyDescent="0.25">
      <c r="D217" s="7"/>
      <c r="E217" s="208"/>
      <c r="F217" s="208"/>
    </row>
    <row r="218" spans="2:7" x14ac:dyDescent="0.25">
      <c r="B218" s="7" t="s">
        <v>191</v>
      </c>
      <c r="D218" s="7"/>
      <c r="E218" s="208">
        <v>293623009</v>
      </c>
      <c r="F218" s="208">
        <v>288326009</v>
      </c>
    </row>
    <row r="219" spans="2:7" x14ac:dyDescent="0.25">
      <c r="B219" s="7" t="s">
        <v>192</v>
      </c>
      <c r="D219" s="7"/>
      <c r="E219" s="223"/>
      <c r="F219" s="223"/>
    </row>
    <row r="220" spans="2:7" ht="15.75" thickBot="1" x14ac:dyDescent="0.3">
      <c r="B220" s="14" t="s">
        <v>125</v>
      </c>
      <c r="D220" s="7"/>
      <c r="E220" s="212">
        <f>SUM(E218:E219)</f>
        <v>293623009</v>
      </c>
      <c r="F220" s="212">
        <f>SUM(F218:F219)</f>
        <v>288326009</v>
      </c>
    </row>
    <row r="221" spans="2:7" ht="15.75" thickTop="1" x14ac:dyDescent="0.25">
      <c r="B221" s="14"/>
      <c r="D221" s="7"/>
      <c r="E221" s="216"/>
      <c r="F221" s="216"/>
    </row>
    <row r="222" spans="2:7" x14ac:dyDescent="0.25">
      <c r="B222" s="14" t="s">
        <v>193</v>
      </c>
      <c r="D222" s="7"/>
      <c r="E222" s="208"/>
      <c r="F222" s="208"/>
    </row>
    <row r="223" spans="2:7" ht="15.75" x14ac:dyDescent="0.25">
      <c r="B223" s="14" t="s">
        <v>410</v>
      </c>
      <c r="C223" s="14"/>
      <c r="D223" s="7"/>
      <c r="E223" s="230">
        <v>2024</v>
      </c>
      <c r="F223" s="230">
        <v>2023</v>
      </c>
    </row>
    <row r="224" spans="2:7" ht="21" customHeight="1" x14ac:dyDescent="0.25">
      <c r="B224" s="7" t="s">
        <v>437</v>
      </c>
      <c r="D224" s="7"/>
      <c r="E224" s="223">
        <v>270867</v>
      </c>
      <c r="F224" s="223">
        <v>1525000</v>
      </c>
    </row>
    <row r="225" spans="2:6" x14ac:dyDescent="0.25">
      <c r="B225" s="14" t="s">
        <v>194</v>
      </c>
      <c r="D225" s="7"/>
      <c r="E225" s="220">
        <f>SUM(E224)</f>
        <v>270867</v>
      </c>
      <c r="F225" s="220">
        <f>SUM(F224:F224)</f>
        <v>1525000</v>
      </c>
    </row>
    <row r="226" spans="2:6" ht="15.75" thickBot="1" x14ac:dyDescent="0.3">
      <c r="B226" s="14" t="s">
        <v>195</v>
      </c>
      <c r="D226" s="7"/>
      <c r="E226" s="219">
        <f>E220+E225</f>
        <v>293893876</v>
      </c>
      <c r="F226" s="219">
        <f>F220+F225</f>
        <v>289851009</v>
      </c>
    </row>
    <row r="227" spans="2:6" ht="8.25" customHeight="1" thickTop="1" x14ac:dyDescent="0.25"/>
    <row r="228" spans="2:6" x14ac:dyDescent="0.25">
      <c r="B228" s="14" t="s">
        <v>411</v>
      </c>
      <c r="C228" s="14"/>
      <c r="D228" s="143"/>
    </row>
    <row r="229" spans="2:6" x14ac:dyDescent="0.25">
      <c r="B229" s="7" t="s">
        <v>382</v>
      </c>
    </row>
    <row r="230" spans="2:6" ht="18.75" customHeight="1" x14ac:dyDescent="0.25">
      <c r="B230" s="14" t="s">
        <v>196</v>
      </c>
      <c r="D230" s="7"/>
      <c r="E230" s="230">
        <v>2024</v>
      </c>
      <c r="F230" s="230">
        <v>2023</v>
      </c>
    </row>
    <row r="231" spans="2:6" x14ac:dyDescent="0.25">
      <c r="B231" s="7" t="s">
        <v>197</v>
      </c>
      <c r="D231" s="7"/>
      <c r="E231" s="208">
        <v>39739216.450000003</v>
      </c>
      <c r="F231" s="208">
        <v>41200156.450000003</v>
      </c>
    </row>
    <row r="232" spans="2:6" x14ac:dyDescent="0.25">
      <c r="B232" s="7" t="s">
        <v>198</v>
      </c>
      <c r="D232" s="7"/>
      <c r="E232" s="208">
        <v>4062301.91</v>
      </c>
      <c r="F232" s="208">
        <v>3756461.35</v>
      </c>
    </row>
    <row r="233" spans="2:6" x14ac:dyDescent="0.25">
      <c r="B233" s="7" t="s">
        <v>199</v>
      </c>
      <c r="D233" s="7"/>
      <c r="E233" s="208">
        <v>4107824.66</v>
      </c>
      <c r="F233" s="208">
        <v>3691653.44</v>
      </c>
    </row>
    <row r="234" spans="2:6" x14ac:dyDescent="0.25">
      <c r="B234" s="7" t="s">
        <v>200</v>
      </c>
      <c r="D234" s="7"/>
      <c r="E234" s="208">
        <v>545920.91</v>
      </c>
      <c r="F234" s="208">
        <v>501996.81</v>
      </c>
    </row>
    <row r="235" spans="2:6" x14ac:dyDescent="0.25">
      <c r="B235" s="7" t="s">
        <v>201</v>
      </c>
      <c r="D235" s="7"/>
      <c r="E235" s="208">
        <v>1560333.33</v>
      </c>
      <c r="F235" s="208">
        <v>1832760</v>
      </c>
    </row>
    <row r="236" spans="2:6" x14ac:dyDescent="0.25">
      <c r="B236" s="7" t="s">
        <v>202</v>
      </c>
      <c r="D236" s="7"/>
      <c r="E236" s="208">
        <v>1941500</v>
      </c>
      <c r="F236" s="208">
        <v>2052133.33</v>
      </c>
    </row>
    <row r="237" spans="2:6" x14ac:dyDescent="0.25">
      <c r="B237" s="7" t="s">
        <v>203</v>
      </c>
      <c r="D237" s="7"/>
      <c r="E237" s="208">
        <v>15951000</v>
      </c>
      <c r="F237" s="208">
        <v>9478833.3300000001</v>
      </c>
    </row>
    <row r="238" spans="2:6" x14ac:dyDescent="0.25">
      <c r="D238" s="7"/>
      <c r="E238" s="208"/>
      <c r="F238" s="208"/>
    </row>
    <row r="239" spans="2:6" x14ac:dyDescent="0.25">
      <c r="B239" s="7" t="s">
        <v>204</v>
      </c>
      <c r="D239" s="7"/>
      <c r="E239" s="208">
        <v>3652144.44</v>
      </c>
      <c r="F239" s="208">
        <v>2959237.53</v>
      </c>
    </row>
    <row r="240" spans="2:6" x14ac:dyDescent="0.25">
      <c r="B240" s="7" t="s">
        <v>205</v>
      </c>
      <c r="D240" s="7"/>
      <c r="E240" s="208">
        <v>608000</v>
      </c>
      <c r="F240" s="208">
        <v>398000</v>
      </c>
    </row>
    <row r="241" spans="2:6" x14ac:dyDescent="0.25">
      <c r="B241" s="7" t="s">
        <v>206</v>
      </c>
      <c r="D241" s="7"/>
      <c r="E241" s="208">
        <v>3788741.67</v>
      </c>
      <c r="F241" s="208">
        <v>3711936.44</v>
      </c>
    </row>
    <row r="242" spans="2:6" x14ac:dyDescent="0.25">
      <c r="B242" s="7" t="s">
        <v>207</v>
      </c>
      <c r="D242" s="7"/>
      <c r="E242" s="208">
        <v>846500</v>
      </c>
      <c r="F242" s="208">
        <v>814500</v>
      </c>
    </row>
    <row r="243" spans="2:6" x14ac:dyDescent="0.25">
      <c r="B243" s="7" t="s">
        <v>208</v>
      </c>
      <c r="D243" s="7"/>
      <c r="E243" s="208">
        <v>4556616.68</v>
      </c>
      <c r="F243" s="236" t="s">
        <v>242</v>
      </c>
    </row>
    <row r="244" spans="2:6" x14ac:dyDescent="0.25">
      <c r="B244" s="7" t="s">
        <v>209</v>
      </c>
      <c r="D244" s="7"/>
      <c r="E244" s="208">
        <v>4811740.28</v>
      </c>
      <c r="F244" s="208">
        <v>4321656.37</v>
      </c>
    </row>
    <row r="245" spans="2:6" x14ac:dyDescent="0.25">
      <c r="B245" s="7" t="s">
        <v>210</v>
      </c>
      <c r="D245" s="7"/>
      <c r="E245" s="208">
        <v>871480.72</v>
      </c>
      <c r="F245" s="208">
        <v>725379.95</v>
      </c>
    </row>
    <row r="246" spans="2:6" ht="15.75" thickBot="1" x14ac:dyDescent="0.3">
      <c r="B246" s="14" t="s">
        <v>211</v>
      </c>
      <c r="D246" s="7"/>
      <c r="E246" s="212">
        <f>SUM(E231:E245)</f>
        <v>87043321.049999982</v>
      </c>
      <c r="F246" s="212">
        <f>SUM(F231:F245)</f>
        <v>75444705.000000015</v>
      </c>
    </row>
    <row r="247" spans="2:6" ht="15.75" thickTop="1" x14ac:dyDescent="0.25"/>
    <row r="248" spans="2:6" x14ac:dyDescent="0.25">
      <c r="B248" s="14" t="s">
        <v>412</v>
      </c>
      <c r="C248" s="14"/>
      <c r="D248" s="143"/>
    </row>
    <row r="249" spans="2:6" x14ac:dyDescent="0.25">
      <c r="B249" s="7" t="s">
        <v>381</v>
      </c>
    </row>
    <row r="250" spans="2:6" ht="15.75" x14ac:dyDescent="0.25">
      <c r="B250" s="14" t="s">
        <v>174</v>
      </c>
      <c r="D250" s="7"/>
      <c r="E250" s="230">
        <v>2024</v>
      </c>
      <c r="F250" s="230">
        <v>2023</v>
      </c>
    </row>
    <row r="251" spans="2:6" x14ac:dyDescent="0.25">
      <c r="B251" s="7" t="s">
        <v>212</v>
      </c>
      <c r="D251" s="7"/>
      <c r="E251" s="208">
        <v>138135800</v>
      </c>
      <c r="F251" s="208">
        <v>132838800</v>
      </c>
    </row>
    <row r="252" spans="2:6" x14ac:dyDescent="0.25">
      <c r="B252" s="7" t="s">
        <v>431</v>
      </c>
      <c r="D252" s="7"/>
      <c r="E252" s="208">
        <v>1933344</v>
      </c>
      <c r="F252" s="208" t="s">
        <v>242</v>
      </c>
    </row>
    <row r="253" spans="2:6" x14ac:dyDescent="0.25">
      <c r="B253" s="7" t="s">
        <v>333</v>
      </c>
      <c r="D253" s="7"/>
      <c r="E253" s="7"/>
      <c r="F253" s="7"/>
    </row>
    <row r="254" spans="2:6" ht="15.75" thickBot="1" x14ac:dyDescent="0.3">
      <c r="B254" s="14" t="s">
        <v>211</v>
      </c>
      <c r="D254" s="7"/>
      <c r="E254" s="212">
        <f>SUM(E251:E252)</f>
        <v>140069144</v>
      </c>
      <c r="F254" s="212">
        <f>SUM(F251:F252)</f>
        <v>132838800</v>
      </c>
    </row>
    <row r="255" spans="2:6" ht="15.75" thickTop="1" x14ac:dyDescent="0.25">
      <c r="D255" s="147"/>
    </row>
    <row r="256" spans="2:6" x14ac:dyDescent="0.25">
      <c r="D256" s="141"/>
    </row>
    <row r="257" spans="2:7" ht="15.75" x14ac:dyDescent="0.25">
      <c r="B257" s="14" t="s">
        <v>413</v>
      </c>
      <c r="C257" s="14"/>
      <c r="E257" s="230">
        <v>2024</v>
      </c>
      <c r="F257" s="230">
        <v>2023</v>
      </c>
    </row>
    <row r="258" spans="2:7" x14ac:dyDescent="0.25">
      <c r="B258" s="7" t="s">
        <v>383</v>
      </c>
    </row>
    <row r="259" spans="2:7" ht="15.75" x14ac:dyDescent="0.25">
      <c r="B259" s="14" t="s">
        <v>174</v>
      </c>
      <c r="D259" s="7"/>
      <c r="E259" s="206"/>
      <c r="F259" s="206"/>
      <c r="G259" s="147"/>
    </row>
    <row r="260" spans="2:7" x14ac:dyDescent="0.25">
      <c r="B260" s="7" t="s">
        <v>213</v>
      </c>
      <c r="D260" s="7"/>
      <c r="E260" s="208">
        <v>423687.83</v>
      </c>
      <c r="F260" s="208">
        <f>330877.95</f>
        <v>330877.95</v>
      </c>
      <c r="G260" s="147"/>
    </row>
    <row r="261" spans="2:7" x14ac:dyDescent="0.25">
      <c r="B261" s="7" t="s">
        <v>414</v>
      </c>
      <c r="D261" s="7"/>
      <c r="E261" s="208">
        <f>19290.8+55950</f>
        <v>75240.800000000003</v>
      </c>
      <c r="F261" s="208">
        <v>54305.3</v>
      </c>
      <c r="G261" s="147"/>
    </row>
    <row r="262" spans="2:7" x14ac:dyDescent="0.25">
      <c r="B262" s="7" t="s">
        <v>214</v>
      </c>
      <c r="D262" s="7"/>
      <c r="E262" s="208">
        <f>26355.3+20968.61+4235.26</f>
        <v>51559.170000000006</v>
      </c>
      <c r="F262" s="208">
        <v>7382.04</v>
      </c>
      <c r="G262" s="147"/>
    </row>
    <row r="263" spans="2:7" x14ac:dyDescent="0.25">
      <c r="B263" s="7" t="s">
        <v>129</v>
      </c>
      <c r="D263" s="7"/>
      <c r="E263" s="208">
        <v>7908.36</v>
      </c>
      <c r="F263" s="208">
        <v>309.39999999999998</v>
      </c>
      <c r="G263" s="147"/>
    </row>
    <row r="264" spans="2:7" x14ac:dyDescent="0.25">
      <c r="B264" s="7" t="s">
        <v>131</v>
      </c>
      <c r="D264" s="7"/>
      <c r="E264" s="208">
        <v>111499.81</v>
      </c>
      <c r="F264" s="208">
        <f>73008.02+1435</f>
        <v>74443.02</v>
      </c>
      <c r="G264" s="147"/>
    </row>
    <row r="265" spans="2:7" x14ac:dyDescent="0.25">
      <c r="B265" s="7" t="s">
        <v>215</v>
      </c>
      <c r="D265" s="7"/>
      <c r="E265" s="208">
        <v>273397.05</v>
      </c>
      <c r="F265" s="208">
        <f>215796.29+589.95</f>
        <v>216386.24000000002</v>
      </c>
      <c r="G265" s="147"/>
    </row>
    <row r="266" spans="2:7" x14ac:dyDescent="0.25">
      <c r="B266" s="7" t="s">
        <v>415</v>
      </c>
      <c r="D266" s="7"/>
      <c r="E266" s="208">
        <v>14575</v>
      </c>
      <c r="F266" s="208">
        <v>0</v>
      </c>
      <c r="G266" s="147"/>
    </row>
    <row r="267" spans="2:7" x14ac:dyDescent="0.25">
      <c r="B267" s="7" t="s">
        <v>135</v>
      </c>
      <c r="D267" s="7"/>
      <c r="E267" s="208">
        <v>0</v>
      </c>
      <c r="F267" s="208">
        <v>1796.56</v>
      </c>
      <c r="G267" s="147"/>
    </row>
    <row r="268" spans="2:7" x14ac:dyDescent="0.25">
      <c r="B268" s="7" t="s">
        <v>216</v>
      </c>
      <c r="D268" s="7"/>
      <c r="E268" s="208">
        <v>247902.12</v>
      </c>
      <c r="F268" s="208">
        <f>383514.62+5992.77</f>
        <v>389507.39</v>
      </c>
      <c r="G268" s="147"/>
    </row>
    <row r="269" spans="2:7" x14ac:dyDescent="0.25">
      <c r="B269" s="7" t="s">
        <v>217</v>
      </c>
      <c r="D269" s="7"/>
      <c r="E269" s="208">
        <v>9413.82</v>
      </c>
      <c r="F269" s="208">
        <v>2121.3000000000002</v>
      </c>
      <c r="G269" s="147"/>
    </row>
    <row r="270" spans="2:7" x14ac:dyDescent="0.25">
      <c r="B270" s="7" t="s">
        <v>218</v>
      </c>
      <c r="D270" s="7"/>
      <c r="E270" s="208">
        <v>15185.74</v>
      </c>
      <c r="F270" s="208">
        <v>33507.96</v>
      </c>
      <c r="G270" s="147"/>
    </row>
    <row r="271" spans="2:7" x14ac:dyDescent="0.25">
      <c r="B271" s="7" t="s">
        <v>339</v>
      </c>
      <c r="D271" s="7"/>
      <c r="E271" s="208">
        <v>52954.26</v>
      </c>
      <c r="F271" s="208">
        <v>1729.2</v>
      </c>
      <c r="G271" s="147"/>
    </row>
    <row r="272" spans="2:7" x14ac:dyDescent="0.25">
      <c r="B272" s="7" t="s">
        <v>219</v>
      </c>
      <c r="D272" s="7"/>
      <c r="E272" s="208">
        <v>36148.65</v>
      </c>
      <c r="F272" s="208">
        <f>35127.14+1953.97</f>
        <v>37081.11</v>
      </c>
      <c r="G272" s="147"/>
    </row>
    <row r="273" spans="2:7" x14ac:dyDescent="0.25">
      <c r="B273" s="7" t="s">
        <v>220</v>
      </c>
      <c r="D273" s="7"/>
      <c r="E273" s="208">
        <v>4880.4799999999996</v>
      </c>
      <c r="F273" s="208">
        <v>1060.52</v>
      </c>
      <c r="G273" s="147"/>
    </row>
    <row r="274" spans="2:7" x14ac:dyDescent="0.25">
      <c r="B274" s="7" t="s">
        <v>221</v>
      </c>
      <c r="D274" s="7"/>
      <c r="E274" s="208">
        <f>27117.84+13830</f>
        <v>40947.839999999997</v>
      </c>
      <c r="F274" s="208">
        <f>3222.76+922.76</f>
        <v>4145.5200000000004</v>
      </c>
      <c r="G274" s="147"/>
    </row>
    <row r="275" spans="2:7" x14ac:dyDescent="0.25">
      <c r="B275" s="7" t="s">
        <v>222</v>
      </c>
      <c r="D275" s="7"/>
      <c r="E275" s="208">
        <f>5557.86+0.6+4882.85+12533.37+2014+5767.5+287.92</f>
        <v>31044.1</v>
      </c>
      <c r="F275" s="208">
        <v>6862.2</v>
      </c>
      <c r="G275" s="147"/>
    </row>
    <row r="276" spans="2:7" x14ac:dyDescent="0.25">
      <c r="B276" s="7" t="s">
        <v>223</v>
      </c>
      <c r="D276" s="7"/>
      <c r="E276" s="208">
        <v>0</v>
      </c>
      <c r="F276" s="208">
        <v>5672.99</v>
      </c>
      <c r="G276" s="147"/>
    </row>
    <row r="277" spans="2:7" x14ac:dyDescent="0.25">
      <c r="B277" s="7" t="s">
        <v>224</v>
      </c>
      <c r="D277" s="7"/>
      <c r="E277" s="208">
        <v>0</v>
      </c>
      <c r="F277" s="208">
        <v>2531.94</v>
      </c>
      <c r="G277" s="147"/>
    </row>
    <row r="278" spans="2:7" x14ac:dyDescent="0.25">
      <c r="B278" s="7" t="s">
        <v>225</v>
      </c>
      <c r="D278" s="7"/>
      <c r="E278" s="208">
        <v>3600497</v>
      </c>
      <c r="F278" s="208">
        <v>3615370</v>
      </c>
      <c r="G278" s="147"/>
    </row>
    <row r="279" spans="2:7" x14ac:dyDescent="0.25">
      <c r="B279" s="7" t="s">
        <v>226</v>
      </c>
      <c r="D279" s="7"/>
      <c r="E279" s="208">
        <v>2826</v>
      </c>
      <c r="F279" s="208">
        <v>10400</v>
      </c>
      <c r="G279" s="147"/>
    </row>
    <row r="280" spans="2:7" x14ac:dyDescent="0.25">
      <c r="B280" s="7" t="s">
        <v>227</v>
      </c>
      <c r="D280" s="7"/>
      <c r="E280" s="208">
        <v>0</v>
      </c>
      <c r="F280" s="208">
        <f>2620+300</f>
        <v>2920</v>
      </c>
      <c r="G280" s="147"/>
    </row>
    <row r="281" spans="2:7" x14ac:dyDescent="0.25">
      <c r="B281" s="7" t="s">
        <v>228</v>
      </c>
      <c r="D281" s="7"/>
      <c r="E281" s="208">
        <f>16527.08+3501.22+5800.02</f>
        <v>25828.320000000003</v>
      </c>
      <c r="F281" s="208">
        <v>43031.159999999996</v>
      </c>
      <c r="G281" s="147"/>
    </row>
    <row r="282" spans="2:7" x14ac:dyDescent="0.25">
      <c r="B282" s="7" t="s">
        <v>229</v>
      </c>
      <c r="D282" s="7"/>
      <c r="E282" s="208">
        <v>26906.06</v>
      </c>
      <c r="F282" s="208">
        <v>4026.82</v>
      </c>
      <c r="G282" s="147"/>
    </row>
    <row r="283" spans="2:7" x14ac:dyDescent="0.25">
      <c r="B283" s="7" t="s">
        <v>142</v>
      </c>
      <c r="D283" s="7"/>
      <c r="E283" s="208">
        <v>64491.83</v>
      </c>
      <c r="F283" s="208">
        <v>48052.39</v>
      </c>
      <c r="G283" s="147"/>
    </row>
    <row r="284" spans="2:7" x14ac:dyDescent="0.25">
      <c r="B284" s="7" t="s">
        <v>230</v>
      </c>
      <c r="D284" s="7"/>
      <c r="E284" s="208">
        <f>2377.66+17041.4+330.4</f>
        <v>19749.460000000003</v>
      </c>
      <c r="F284" s="208">
        <v>123034.65000000001</v>
      </c>
      <c r="G284" s="147"/>
    </row>
    <row r="285" spans="2:7" x14ac:dyDescent="0.25">
      <c r="B285" s="7" t="s">
        <v>231</v>
      </c>
      <c r="D285" s="7"/>
      <c r="E285" s="208">
        <v>83561.41</v>
      </c>
      <c r="F285" s="208">
        <v>64991.28</v>
      </c>
      <c r="G285" s="147"/>
    </row>
    <row r="286" spans="2:7" x14ac:dyDescent="0.25">
      <c r="B286" s="7" t="s">
        <v>232</v>
      </c>
      <c r="D286" s="7"/>
      <c r="E286" s="208">
        <v>42682.96</v>
      </c>
      <c r="F286" s="208">
        <v>2211.98</v>
      </c>
      <c r="G286" s="147"/>
    </row>
    <row r="287" spans="2:7" x14ac:dyDescent="0.25">
      <c r="B287" s="7" t="s">
        <v>233</v>
      </c>
      <c r="D287" s="7"/>
      <c r="E287" s="208">
        <v>23305.87</v>
      </c>
      <c r="F287" s="208">
        <v>7083.6</v>
      </c>
      <c r="G287" s="147"/>
    </row>
    <row r="288" spans="2:7" x14ac:dyDescent="0.25">
      <c r="B288" s="7" t="s">
        <v>234</v>
      </c>
      <c r="D288" s="7"/>
      <c r="E288" s="208">
        <v>169386.98</v>
      </c>
      <c r="F288" s="208">
        <v>241999.8</v>
      </c>
    </row>
    <row r="289" spans="2:9" x14ac:dyDescent="0.25">
      <c r="B289" s="7" t="s">
        <v>416</v>
      </c>
      <c r="D289" s="7"/>
      <c r="E289" s="208">
        <v>10863.08</v>
      </c>
      <c r="F289" s="208">
        <v>0</v>
      </c>
      <c r="I289" s="134"/>
    </row>
    <row r="290" spans="2:9" ht="15.75" thickBot="1" x14ac:dyDescent="0.3">
      <c r="B290" s="14" t="s">
        <v>211</v>
      </c>
      <c r="D290" s="7"/>
      <c r="E290" s="212">
        <f>SUM(E260:E289)</f>
        <v>5466444.0000000009</v>
      </c>
      <c r="F290" s="212">
        <f>SUM(F260:F289)</f>
        <v>5332842.3200000012</v>
      </c>
    </row>
    <row r="291" spans="2:9" ht="15.75" thickTop="1" x14ac:dyDescent="0.25">
      <c r="I291" s="134"/>
    </row>
    <row r="292" spans="2:9" ht="9.75" customHeight="1" x14ac:dyDescent="0.25"/>
    <row r="293" spans="2:9" ht="9.75" customHeight="1" x14ac:dyDescent="0.25"/>
    <row r="294" spans="2:9" x14ac:dyDescent="0.25">
      <c r="B294" s="14" t="s">
        <v>425</v>
      </c>
      <c r="C294" s="14"/>
    </row>
    <row r="295" spans="2:9" x14ac:dyDescent="0.25">
      <c r="B295" s="7" t="s">
        <v>384</v>
      </c>
    </row>
    <row r="296" spans="2:9" x14ac:dyDescent="0.25">
      <c r="B296" s="7" t="s">
        <v>385</v>
      </c>
    </row>
    <row r="297" spans="2:9" x14ac:dyDescent="0.25">
      <c r="B297" s="202">
        <v>43999.7</v>
      </c>
      <c r="H297" s="134"/>
    </row>
    <row r="298" spans="2:9" ht="15.75" x14ac:dyDescent="0.25">
      <c r="B298" s="14" t="s">
        <v>187</v>
      </c>
      <c r="D298" s="7"/>
      <c r="E298" s="230">
        <v>2024</v>
      </c>
      <c r="F298" s="230">
        <v>2023</v>
      </c>
    </row>
    <row r="299" spans="2:9" x14ac:dyDescent="0.25">
      <c r="B299" s="7" t="s">
        <v>235</v>
      </c>
      <c r="D299" s="7"/>
      <c r="E299" s="208">
        <v>1346083.35</v>
      </c>
      <c r="F299" s="208">
        <v>1692717</v>
      </c>
      <c r="H299" s="147"/>
    </row>
    <row r="300" spans="2:9" x14ac:dyDescent="0.25">
      <c r="B300" s="7" t="s">
        <v>236</v>
      </c>
      <c r="D300" s="7"/>
      <c r="E300" s="208">
        <v>1694118.85</v>
      </c>
      <c r="F300" s="208">
        <v>1255730</v>
      </c>
      <c r="H300" s="147"/>
    </row>
    <row r="301" spans="2:9" x14ac:dyDescent="0.25">
      <c r="B301" s="7" t="s">
        <v>237</v>
      </c>
      <c r="D301" s="7"/>
      <c r="E301" s="208">
        <v>443712.68</v>
      </c>
      <c r="F301" s="208">
        <v>572534</v>
      </c>
      <c r="H301" s="147"/>
    </row>
    <row r="302" spans="2:9" x14ac:dyDescent="0.25">
      <c r="B302" s="7" t="s">
        <v>238</v>
      </c>
      <c r="D302" s="7"/>
      <c r="E302" s="208">
        <v>109005.48</v>
      </c>
      <c r="F302" s="208">
        <v>205837.2</v>
      </c>
      <c r="H302" s="147"/>
    </row>
    <row r="303" spans="2:9" ht="15.75" thickBot="1" x14ac:dyDescent="0.3">
      <c r="D303" s="7"/>
      <c r="E303" s="212">
        <f>SUM(E299:E302)</f>
        <v>3592920.3600000003</v>
      </c>
      <c r="F303" s="212">
        <f>SUM(F299:F302)</f>
        <v>3726818.2</v>
      </c>
    </row>
    <row r="304" spans="2:9" ht="15.75" thickTop="1" x14ac:dyDescent="0.25">
      <c r="D304" s="7"/>
      <c r="E304" s="220"/>
      <c r="F304" s="220"/>
    </row>
    <row r="305" spans="2:6" x14ac:dyDescent="0.25">
      <c r="B305" s="14" t="s">
        <v>429</v>
      </c>
      <c r="C305" s="14"/>
    </row>
    <row r="306" spans="2:6" x14ac:dyDescent="0.25">
      <c r="B306" s="7" t="s">
        <v>239</v>
      </c>
    </row>
    <row r="307" spans="2:6" x14ac:dyDescent="0.25">
      <c r="B307" s="7" t="s">
        <v>355</v>
      </c>
    </row>
    <row r="308" spans="2:6" ht="15.75" x14ac:dyDescent="0.25">
      <c r="B308" s="14" t="s">
        <v>174</v>
      </c>
      <c r="D308" s="7"/>
      <c r="E308" s="230">
        <v>2024</v>
      </c>
      <c r="F308" s="230">
        <v>2023</v>
      </c>
    </row>
    <row r="309" spans="2:6" x14ac:dyDescent="0.25">
      <c r="B309" s="7" t="s">
        <v>240</v>
      </c>
      <c r="D309" s="7"/>
      <c r="E309" s="208">
        <v>3171622.82</v>
      </c>
      <c r="F309" s="208">
        <v>3309640.26</v>
      </c>
    </row>
    <row r="310" spans="2:6" x14ac:dyDescent="0.25">
      <c r="B310" s="7" t="s">
        <v>241</v>
      </c>
      <c r="D310" s="7"/>
      <c r="E310" s="208"/>
      <c r="F310" s="208">
        <v>120708.9</v>
      </c>
    </row>
    <row r="311" spans="2:6" x14ac:dyDescent="0.25">
      <c r="B311" s="7" t="s">
        <v>243</v>
      </c>
      <c r="D311" s="7"/>
      <c r="E311" s="208">
        <v>1549433.6</v>
      </c>
      <c r="F311" s="208">
        <v>1557212.78</v>
      </c>
    </row>
    <row r="312" spans="2:6" x14ac:dyDescent="0.25">
      <c r="B312" s="7" t="s">
        <v>426</v>
      </c>
      <c r="D312" s="7"/>
      <c r="E312" s="208">
        <v>1191389.1599999999</v>
      </c>
      <c r="F312" s="208">
        <v>0</v>
      </c>
    </row>
    <row r="313" spans="2:6" x14ac:dyDescent="0.25">
      <c r="B313" s="7" t="s">
        <v>244</v>
      </c>
      <c r="D313" s="7"/>
      <c r="E313" s="208">
        <v>1862755.78</v>
      </c>
      <c r="F313" s="208">
        <v>1430056.22</v>
      </c>
    </row>
    <row r="314" spans="2:6" x14ac:dyDescent="0.25">
      <c r="B314" s="7" t="s">
        <v>245</v>
      </c>
      <c r="D314" s="7"/>
      <c r="E314" s="208">
        <v>757193.38</v>
      </c>
      <c r="F314" s="208">
        <v>250146.32</v>
      </c>
    </row>
    <row r="315" spans="2:6" x14ac:dyDescent="0.25">
      <c r="B315" s="7" t="s">
        <v>246</v>
      </c>
      <c r="D315" s="7"/>
      <c r="E315" s="208">
        <v>0</v>
      </c>
      <c r="F315" s="208">
        <f>507515.88</f>
        <v>507515.88</v>
      </c>
    </row>
    <row r="316" spans="2:6" x14ac:dyDescent="0.25">
      <c r="B316" s="7" t="s">
        <v>247</v>
      </c>
      <c r="D316" s="7"/>
      <c r="E316" s="208">
        <f>757155.79+259440.96+1616095.92+73769+0.03</f>
        <v>2706461.6999999997</v>
      </c>
      <c r="F316" s="208">
        <v>2140520.34</v>
      </c>
    </row>
    <row r="317" spans="2:6" x14ac:dyDescent="0.25">
      <c r="B317" s="7" t="s">
        <v>248</v>
      </c>
      <c r="D317" s="7"/>
      <c r="E317" s="208"/>
      <c r="F317" s="208">
        <v>88666.69</v>
      </c>
    </row>
    <row r="318" spans="2:6" x14ac:dyDescent="0.25">
      <c r="B318" s="7" t="s">
        <v>249</v>
      </c>
      <c r="D318" s="7"/>
      <c r="E318" s="208">
        <v>36205.800000000003</v>
      </c>
      <c r="F318" s="208">
        <f>31730+220</f>
        <v>31950</v>
      </c>
    </row>
    <row r="319" spans="2:6" x14ac:dyDescent="0.25">
      <c r="B319" s="7" t="s">
        <v>340</v>
      </c>
      <c r="D319" s="7"/>
      <c r="E319" s="208">
        <f>208796.49+50650</f>
        <v>259446.49</v>
      </c>
      <c r="F319" s="208">
        <v>1950</v>
      </c>
    </row>
    <row r="320" spans="2:6" x14ac:dyDescent="0.25">
      <c r="B320" s="7" t="s">
        <v>250</v>
      </c>
      <c r="D320" s="7"/>
      <c r="E320" s="208">
        <f>308224.8+429924.61+1680</f>
        <v>739829.40999999992</v>
      </c>
      <c r="F320" s="208">
        <v>664975.99</v>
      </c>
    </row>
    <row r="321" spans="2:6" x14ac:dyDescent="0.25">
      <c r="B321" s="7" t="s">
        <v>251</v>
      </c>
      <c r="D321" s="7"/>
      <c r="E321" s="208">
        <f>319480+212020</f>
        <v>531500</v>
      </c>
      <c r="F321" s="208">
        <v>198085.16</v>
      </c>
    </row>
    <row r="322" spans="2:6" x14ac:dyDescent="0.25">
      <c r="B322" s="7" t="s">
        <v>252</v>
      </c>
      <c r="D322" s="7"/>
      <c r="E322" s="208">
        <f>59820.01+8850+1770+5900</f>
        <v>76340.010000000009</v>
      </c>
      <c r="F322" s="208">
        <v>356289.77</v>
      </c>
    </row>
    <row r="323" spans="2:6" x14ac:dyDescent="0.25">
      <c r="B323" s="7" t="s">
        <v>253</v>
      </c>
      <c r="D323" s="7"/>
      <c r="E323" s="208">
        <v>0</v>
      </c>
      <c r="F323" s="208">
        <f>418746.86+2360</f>
        <v>421106.86</v>
      </c>
    </row>
    <row r="324" spans="2:6" x14ac:dyDescent="0.25">
      <c r="B324" s="7" t="s">
        <v>427</v>
      </c>
      <c r="D324" s="7"/>
      <c r="E324" s="208">
        <f>5422.2+393972.24+169165+130036+2000</f>
        <v>700595.44</v>
      </c>
      <c r="F324" s="208">
        <v>0</v>
      </c>
    </row>
    <row r="325" spans="2:6" x14ac:dyDescent="0.25">
      <c r="B325" s="7" t="s">
        <v>254</v>
      </c>
      <c r="D325" s="7"/>
      <c r="E325" s="208">
        <v>35493.81</v>
      </c>
      <c r="F325" s="208">
        <v>70800</v>
      </c>
    </row>
    <row r="326" spans="2:6" x14ac:dyDescent="0.25">
      <c r="B326" s="7" t="s">
        <v>255</v>
      </c>
      <c r="D326" s="7"/>
      <c r="E326" s="208">
        <v>10030</v>
      </c>
      <c r="F326" s="208">
        <f>23305+1652</f>
        <v>24957</v>
      </c>
    </row>
    <row r="327" spans="2:6" x14ac:dyDescent="0.25">
      <c r="B327" s="7" t="s">
        <v>256</v>
      </c>
      <c r="D327" s="7"/>
      <c r="E327" s="208">
        <v>0</v>
      </c>
      <c r="F327" s="208">
        <v>0</v>
      </c>
    </row>
    <row r="328" spans="2:6" x14ac:dyDescent="0.25">
      <c r="B328" s="7" t="s">
        <v>428</v>
      </c>
      <c r="D328" s="7"/>
      <c r="E328" s="208">
        <v>72222.23</v>
      </c>
      <c r="F328" s="208">
        <v>0</v>
      </c>
    </row>
    <row r="329" spans="2:6" x14ac:dyDescent="0.25">
      <c r="B329" s="7" t="s">
        <v>257</v>
      </c>
      <c r="D329" s="7"/>
      <c r="E329" s="208">
        <v>0</v>
      </c>
      <c r="F329" s="208">
        <v>2793543.02</v>
      </c>
    </row>
    <row r="330" spans="2:6" x14ac:dyDescent="0.25">
      <c r="B330" s="7" t="s">
        <v>258</v>
      </c>
      <c r="D330" s="7"/>
      <c r="E330" s="208">
        <v>336949</v>
      </c>
      <c r="F330" s="208">
        <v>82600</v>
      </c>
    </row>
    <row r="331" spans="2:6" x14ac:dyDescent="0.25">
      <c r="B331" s="7" t="s">
        <v>259</v>
      </c>
      <c r="D331" s="7"/>
      <c r="E331" s="208">
        <v>277160</v>
      </c>
      <c r="F331" s="208">
        <v>123310</v>
      </c>
    </row>
    <row r="332" spans="2:6" x14ac:dyDescent="0.25">
      <c r="B332" s="7" t="s">
        <v>260</v>
      </c>
      <c r="D332" s="7"/>
      <c r="E332" s="208">
        <v>1020500</v>
      </c>
      <c r="F332" s="208">
        <v>964324.89</v>
      </c>
    </row>
    <row r="333" spans="2:6" x14ac:dyDescent="0.25">
      <c r="B333" s="7" t="s">
        <v>261</v>
      </c>
      <c r="D333" s="7"/>
      <c r="E333" s="208">
        <v>914724.64</v>
      </c>
      <c r="F333" s="208">
        <v>311156.71000000002</v>
      </c>
    </row>
    <row r="334" spans="2:6" x14ac:dyDescent="0.25">
      <c r="B334" s="7" t="s">
        <v>262</v>
      </c>
      <c r="D334" s="7"/>
      <c r="E334" s="208">
        <v>3580990.84</v>
      </c>
      <c r="F334" s="208">
        <v>752875.01</v>
      </c>
    </row>
    <row r="335" spans="2:6" x14ac:dyDescent="0.25">
      <c r="B335" s="7" t="s">
        <v>263</v>
      </c>
      <c r="D335" s="7"/>
      <c r="E335" s="208">
        <v>125270</v>
      </c>
      <c r="F335" s="208">
        <v>639666</v>
      </c>
    </row>
    <row r="336" spans="2:6" x14ac:dyDescent="0.25">
      <c r="B336" s="7" t="s">
        <v>291</v>
      </c>
      <c r="D336" s="7"/>
      <c r="E336" s="208">
        <v>5873.43</v>
      </c>
      <c r="F336" s="208">
        <f>245182.96+4007.26</f>
        <v>249190.22</v>
      </c>
    </row>
    <row r="337" spans="1:8" x14ac:dyDescent="0.25">
      <c r="B337" s="7" t="s">
        <v>292</v>
      </c>
      <c r="D337" s="7"/>
      <c r="E337" s="208">
        <v>0</v>
      </c>
      <c r="F337" s="236" t="s">
        <v>242</v>
      </c>
    </row>
    <row r="338" spans="1:8" x14ac:dyDescent="0.25">
      <c r="B338" s="7" t="s">
        <v>264</v>
      </c>
      <c r="D338" s="7"/>
      <c r="E338" s="208">
        <v>1626162.32</v>
      </c>
      <c r="F338" s="208">
        <f>658022.6+1499.6+15658.16</f>
        <v>675180.36</v>
      </c>
      <c r="H338" s="134"/>
    </row>
    <row r="339" spans="1:8" x14ac:dyDescent="0.25">
      <c r="B339" s="7" t="s">
        <v>265</v>
      </c>
      <c r="D339" s="7"/>
      <c r="E339" s="208">
        <v>191250.86</v>
      </c>
      <c r="F339" s="208">
        <v>911793.27</v>
      </c>
    </row>
    <row r="340" spans="1:8" x14ac:dyDescent="0.25">
      <c r="B340" s="7" t="s">
        <v>438</v>
      </c>
      <c r="D340" s="7"/>
      <c r="E340" s="208">
        <v>330400</v>
      </c>
      <c r="F340" s="208">
        <v>0</v>
      </c>
    </row>
    <row r="341" spans="1:8" ht="18.75" customHeight="1" x14ac:dyDescent="0.25">
      <c r="B341" s="14" t="s">
        <v>432</v>
      </c>
      <c r="C341" s="14"/>
      <c r="D341" s="14"/>
      <c r="E341" s="221">
        <f>SUM(E309:E339)+E340</f>
        <v>22109800.719999999</v>
      </c>
      <c r="F341" s="221">
        <f>SUM(F309:F339)</f>
        <v>18678221.649999995</v>
      </c>
    </row>
    <row r="342" spans="1:8" ht="21" customHeight="1" x14ac:dyDescent="0.25">
      <c r="B342" s="7" t="s">
        <v>266</v>
      </c>
      <c r="C342" s="14"/>
      <c r="D342" s="7"/>
      <c r="E342" s="208">
        <v>899853</v>
      </c>
      <c r="F342" s="208">
        <v>901746.6</v>
      </c>
      <c r="H342" s="134"/>
    </row>
    <row r="343" spans="1:8" ht="15.75" thickBot="1" x14ac:dyDescent="0.3">
      <c r="B343" s="14" t="s">
        <v>125</v>
      </c>
      <c r="C343" s="14"/>
      <c r="D343" s="7"/>
      <c r="E343" s="212">
        <f>E341+E342</f>
        <v>23009653.719999999</v>
      </c>
      <c r="F343" s="212">
        <f>F341+F342</f>
        <v>19579968.249999996</v>
      </c>
      <c r="H343" s="134"/>
    </row>
    <row r="344" spans="1:8" ht="15.75" thickTop="1" x14ac:dyDescent="0.25">
      <c r="B344" s="14"/>
      <c r="C344" s="14"/>
      <c r="D344" s="7"/>
      <c r="E344" s="220"/>
      <c r="F344" s="220"/>
      <c r="H344" s="134"/>
    </row>
    <row r="345" spans="1:8" x14ac:dyDescent="0.25">
      <c r="A345" s="14"/>
      <c r="B345" s="14" t="s">
        <v>430</v>
      </c>
      <c r="C345" s="14"/>
      <c r="D345" s="143"/>
    </row>
    <row r="346" spans="1:8" x14ac:dyDescent="0.25">
      <c r="B346" s="7" t="s">
        <v>267</v>
      </c>
    </row>
    <row r="347" spans="1:8" x14ac:dyDescent="0.25">
      <c r="B347" s="7" t="s">
        <v>268</v>
      </c>
    </row>
    <row r="348" spans="1:8" x14ac:dyDescent="0.25">
      <c r="B348" s="7" t="s">
        <v>386</v>
      </c>
      <c r="D348" s="142"/>
      <c r="E348" s="208"/>
    </row>
    <row r="349" spans="1:8" ht="15.75" x14ac:dyDescent="0.25">
      <c r="B349" s="7" t="s">
        <v>269</v>
      </c>
      <c r="D349" s="7"/>
      <c r="E349" s="230">
        <v>2024</v>
      </c>
      <c r="F349" s="230">
        <v>2023</v>
      </c>
    </row>
    <row r="350" spans="1:8" ht="15.75" x14ac:dyDescent="0.25">
      <c r="B350" s="14" t="s">
        <v>270</v>
      </c>
      <c r="D350" s="7"/>
      <c r="E350" s="210"/>
      <c r="F350" s="210"/>
      <c r="H350" s="169"/>
    </row>
    <row r="351" spans="1:8" x14ac:dyDescent="0.25">
      <c r="B351" s="7" t="s">
        <v>271</v>
      </c>
      <c r="D351" s="7"/>
      <c r="E351" s="208">
        <v>13802.52</v>
      </c>
      <c r="F351" s="208">
        <v>15896.78</v>
      </c>
      <c r="H351" s="169"/>
    </row>
    <row r="352" spans="1:8" x14ac:dyDescent="0.25">
      <c r="B352" s="7" t="s">
        <v>460</v>
      </c>
      <c r="D352" s="7"/>
      <c r="E352" s="208">
        <v>2254.02</v>
      </c>
      <c r="F352" s="208">
        <v>83755.44</v>
      </c>
      <c r="H352" s="169"/>
    </row>
    <row r="353" spans="2:8" ht="15.75" thickBot="1" x14ac:dyDescent="0.3">
      <c r="B353" s="14" t="s">
        <v>125</v>
      </c>
      <c r="C353" s="14"/>
      <c r="D353" s="7"/>
      <c r="E353" s="212">
        <f>SUM(E351:E352)</f>
        <v>16056.54</v>
      </c>
      <c r="F353" s="212">
        <f>SUM(F351:F352)</f>
        <v>99652.22</v>
      </c>
      <c r="H353" s="169"/>
    </row>
    <row r="354" spans="2:8" ht="15.75" thickTop="1" x14ac:dyDescent="0.25">
      <c r="C354" s="14"/>
      <c r="D354" s="145"/>
      <c r="E354" s="214"/>
      <c r="H354" s="169"/>
    </row>
    <row r="356" spans="2:8" x14ac:dyDescent="0.25">
      <c r="B356" s="14" t="s">
        <v>462</v>
      </c>
    </row>
    <row r="357" spans="2:8" x14ac:dyDescent="0.25">
      <c r="B357" s="7" t="s">
        <v>461</v>
      </c>
    </row>
    <row r="358" spans="2:8" ht="15.75" x14ac:dyDescent="0.25">
      <c r="B358" s="7" t="s">
        <v>448</v>
      </c>
      <c r="E358" s="230">
        <v>2024</v>
      </c>
      <c r="F358" s="230">
        <v>2023</v>
      </c>
    </row>
    <row r="360" spans="2:8" ht="15.75" thickBot="1" x14ac:dyDescent="0.3">
      <c r="B360" s="7" t="s">
        <v>449</v>
      </c>
      <c r="E360" s="231">
        <v>2255546</v>
      </c>
      <c r="F360" s="231">
        <v>0</v>
      </c>
    </row>
    <row r="361" spans="2:8" ht="15.75" thickTop="1" x14ac:dyDescent="0.25"/>
  </sheetData>
  <mergeCells count="23">
    <mergeCell ref="B12:G13"/>
    <mergeCell ref="B51:G51"/>
    <mergeCell ref="B42:D42"/>
    <mergeCell ref="B43:G43"/>
    <mergeCell ref="B49:G49"/>
    <mergeCell ref="B30:G30"/>
    <mergeCell ref="B40:G40"/>
    <mergeCell ref="B6:G6"/>
    <mergeCell ref="B7:G7"/>
    <mergeCell ref="B8:G8"/>
    <mergeCell ref="B9:G9"/>
    <mergeCell ref="B10:G10"/>
    <mergeCell ref="B64:G64"/>
    <mergeCell ref="B46:G46"/>
    <mergeCell ref="B50:D50"/>
    <mergeCell ref="B31:G32"/>
    <mergeCell ref="B34:D34"/>
    <mergeCell ref="B37:C37"/>
    <mergeCell ref="B39:C39"/>
    <mergeCell ref="B35:G35"/>
    <mergeCell ref="B38:G38"/>
    <mergeCell ref="B56:C56"/>
    <mergeCell ref="B60:C60"/>
  </mergeCells>
  <pageMargins left="0.23622047244094491" right="0.23622047244094491" top="0.74803149606299213" bottom="0.74803149606299213" header="0.31496062992125984" footer="0.31496062992125984"/>
  <pageSetup scale="80" orientation="portrait" r:id="rId1"/>
  <ignoredErrors>
    <ignoredError sqref="E118:F118 E303:F303 E246 F183 E191:F191 E60" formulaRange="1"/>
    <ignoredError sqref="E143" formula="1"/>
    <ignoredError sqref="G140" formula="1"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Rendimiento</vt:lpstr>
      <vt:lpstr>Flujo</vt:lpstr>
      <vt:lpstr>Situacion</vt:lpstr>
      <vt:lpstr>Cambio de Patrimonio</vt:lpstr>
      <vt:lpstr>Estado Comparativo</vt:lpstr>
      <vt:lpstr>Notas Explicativas</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Soto</dc:creator>
  <cp:lastModifiedBy>Mercedes Pujols</cp:lastModifiedBy>
  <cp:lastPrinted>2025-01-22T19:46:33Z</cp:lastPrinted>
  <dcterms:created xsi:type="dcterms:W3CDTF">2018-07-13T15:52:30Z</dcterms:created>
  <dcterms:modified xsi:type="dcterms:W3CDTF">2025-01-22T19:55:31Z</dcterms:modified>
</cp:coreProperties>
</file>